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0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'BS'!$A$1:$J$83</definedName>
    <definedName name="_xlnm.Print_Area" localSheetId="3">'CFS'!$A$1:$L$90</definedName>
    <definedName name="_xlnm.Print_Area" localSheetId="2">'P&amp;L'!$A$2:$J$94</definedName>
    <definedName name="_xlnm.Print_Area" localSheetId="1">'S.Equity'!$A$1:$M$59</definedName>
    <definedName name="_xlnm.Print_Titles" localSheetId="2">'P&amp;L'!$20:$25</definedName>
  </definedNames>
  <calcPr fullCalcOnLoad="1"/>
</workbook>
</file>

<file path=xl/sharedStrings.xml><?xml version="1.0" encoding="utf-8"?>
<sst xmlns="http://schemas.openxmlformats.org/spreadsheetml/2006/main" count="277" uniqueCount="224">
  <si>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</si>
  <si>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</si>
  <si>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</si>
  <si>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</si>
  <si>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</si>
  <si>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</si>
  <si>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</si>
  <si>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</si>
  <si>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</si>
  <si>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</si>
  <si>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</si>
  <si>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</si>
  <si>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</si>
  <si>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</si>
  <si>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</si>
  <si>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</si>
  <si>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</si>
  <si>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</si>
  <si>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</si>
  <si>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</si>
  <si>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</si>
  <si>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</si>
  <si>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</si>
  <si>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</si>
  <si>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</si>
  <si>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</si>
  <si>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</si>
  <si>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</si>
  <si>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</si>
  <si>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</si>
  <si>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</si>
  <si>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</si>
  <si>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</si>
  <si>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</si>
  <si>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</si>
  <si>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</si>
  <si>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</si>
  <si>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</si>
  <si>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</si>
  <si>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</si>
  <si>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</si>
  <si>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</si>
  <si>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</si>
  <si>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</si>
  <si>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</si>
  <si>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</si>
  <si>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</si>
  <si>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</si>
  <si>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</si>
  <si>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</si>
  <si>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</si>
  <si>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</si>
  <si>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</si>
  <si>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</si>
  <si>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</si>
  <si>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</si>
  <si>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</si>
  <si>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</si>
  <si>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</si>
  <si>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</si>
  <si>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</si>
  <si>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</si>
  <si>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</si>
  <si>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</si>
  <si>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</si>
  <si>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</si>
  <si>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</si>
  <si>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</si>
  <si>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</si>
  <si>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</si>
  <si>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</si>
  <si>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</si>
  <si>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</si>
  <si>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Loan drawdown</t>
  </si>
  <si>
    <t xml:space="preserve">Quarter ended </t>
  </si>
  <si>
    <t>corresponding</t>
  </si>
  <si>
    <t>Fixed deposits pledged</t>
  </si>
  <si>
    <t>ASSETS</t>
  </si>
  <si>
    <t>Non-current Assets</t>
  </si>
  <si>
    <t>TOTAL ASSETS</t>
  </si>
  <si>
    <t>EQUITY AND LIABILITIES</t>
  </si>
  <si>
    <t>Non-current Liabilities</t>
  </si>
  <si>
    <t>TOTAL LIABILITIES</t>
  </si>
  <si>
    <t>TOTAL EQUITY AND LIABILITIES</t>
  </si>
  <si>
    <t>Minority</t>
  </si>
  <si>
    <t xml:space="preserve">Total </t>
  </si>
  <si>
    <t>Attributable to :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</si>
  <si>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</si>
  <si>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</si>
  <si>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</si>
  <si>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</si>
  <si>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</si>
  <si>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</si>
  <si>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</si>
  <si>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</si>
  <si>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</si>
  <si>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</si>
  <si>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</si>
  <si>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</si>
  <si>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Other payables and accruals</t>
  </si>
  <si>
    <t>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</si>
  <si>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</si>
  <si>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</si>
  <si>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</si>
  <si>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</si>
  <si>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</si>
  <si>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</si>
  <si>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</si>
  <si>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</si>
  <si>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</si>
  <si>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explanatory notes attached to the Interim Financial Statements)</t>
  </si>
  <si>
    <t>Exceptional items</t>
  </si>
  <si>
    <t>Proceeds from disposal of investment properties</t>
  </si>
  <si>
    <t>Net cash used in share buyback</t>
  </si>
  <si>
    <t>Property, plant and equipment</t>
  </si>
  <si>
    <t>Investment properties</t>
  </si>
  <si>
    <t>Land held for development</t>
  </si>
  <si>
    <t>Long term investments</t>
  </si>
  <si>
    <t>Intangible assets</t>
  </si>
  <si>
    <t>Deferred tax assets</t>
  </si>
  <si>
    <t>Share capital</t>
  </si>
  <si>
    <t>Reserves</t>
  </si>
  <si>
    <t>8% Irredeemable Convertible Unsecured</t>
  </si>
  <si>
    <t>Accumulated losses</t>
  </si>
  <si>
    <t>Deferred tax liabilities</t>
  </si>
  <si>
    <t xml:space="preserve">(The Condensed Consolidated Balance Sheets should be read in conjunction with the audited financial 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</si>
  <si>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</si>
  <si>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</si>
  <si>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</si>
  <si>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</si>
  <si>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</si>
  <si>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 xml:space="preserve">   (excluding ICULS and Minority Interests) divided by the total number of ordinary shares, net of shares bought back.</t>
  </si>
  <si>
    <t xml:space="preserve"> is disclosed as a distribution of equity in the Statement of Changes in Equity.</t>
  </si>
  <si>
    <t>Property development costs</t>
  </si>
  <si>
    <t>Other income</t>
  </si>
  <si>
    <t xml:space="preserve">                          INSAS BERHAD </t>
  </si>
  <si>
    <t>Equity holders of the Company</t>
  </si>
  <si>
    <t>Equity Attributable To Equity Holders of the Company</t>
  </si>
  <si>
    <t>As at 1 July 2007</t>
  </si>
  <si>
    <t>Prepaid land lease payments</t>
  </si>
  <si>
    <t>Exceptional items represent:-</t>
  </si>
  <si>
    <t xml:space="preserve">  Loan Stocks 1999/2009</t>
  </si>
  <si>
    <t>Changes in working capital :-</t>
  </si>
  <si>
    <t>Gain on disposal of investment property</t>
  </si>
  <si>
    <t>&lt; ----------------------------- Attributable to Equity Holders of the Company ------------------------------------- &gt;</t>
  </si>
  <si>
    <t>Non-current assets classified as held for sale</t>
  </si>
  <si>
    <t>* Net assets per share attributable to equity holders of the Company  is computed based on Total Shareholders' Funds</t>
  </si>
  <si>
    <t>Dividend received from associate companies</t>
  </si>
  <si>
    <t>Payment for intangible assets</t>
  </si>
  <si>
    <t>30/06/2008</t>
  </si>
  <si>
    <t>As at 1 July 2008</t>
  </si>
  <si>
    <t>statements for the financial year ended 30 June 2008 and the accompanying explanatory notes attached</t>
  </si>
  <si>
    <t>Net profit for the financial period</t>
  </si>
  <si>
    <t xml:space="preserve">financial period </t>
  </si>
  <si>
    <t>audited financial statements for the financial year ended 30 June 2008 and the accompanying</t>
  </si>
  <si>
    <t>Current financial</t>
  </si>
  <si>
    <t xml:space="preserve">Current </t>
  </si>
  <si>
    <t>financial quarter ended</t>
  </si>
  <si>
    <t xml:space="preserve">Financial period </t>
  </si>
  <si>
    <t>period ended</t>
  </si>
  <si>
    <t>ended 30 June 2008 and the accompanying explanatory notes attached to the Interim Financial Statements)</t>
  </si>
  <si>
    <t>Period ended</t>
  </si>
  <si>
    <t xml:space="preserve">(The Condensed Consolidated Statements of Changes in Equity should be read in conjunction with the audited financial statements for the financial year </t>
  </si>
  <si>
    <t>FY 2009</t>
  </si>
  <si>
    <t>FY 2008</t>
  </si>
  <si>
    <t xml:space="preserve">Unrealised exchange loss on translation of quoted </t>
  </si>
  <si>
    <t xml:space="preserve">  securities held for long term </t>
  </si>
  <si>
    <t xml:space="preserve">(The Condensed Consolidated Income Statements should be read in conjunction with the audited financial statements for the financial </t>
  </si>
  <si>
    <t>year ended 30 June 2008 and the accompanying explanatory notes attached to the Interim Financial Statements)</t>
  </si>
  <si>
    <t>Associate companies</t>
  </si>
  <si>
    <t>Hire purchase and finance lease payables</t>
  </si>
  <si>
    <t>Tax payable</t>
  </si>
  <si>
    <t>Net cash generated from operating activities</t>
  </si>
  <si>
    <t>Payment on investment properties</t>
  </si>
  <si>
    <t>Net cash generated from investing activities</t>
  </si>
  <si>
    <t>Repayment of loans and borrowings</t>
  </si>
  <si>
    <t>Repayment of hire purchase and finance lease payables</t>
  </si>
  <si>
    <t>Bank overdrafts</t>
  </si>
  <si>
    <t>Cash and cash equivalents at beginning of the period</t>
  </si>
  <si>
    <t>Cash and cash equivalents at end of the period</t>
  </si>
  <si>
    <t>Cash generated from operations</t>
  </si>
  <si>
    <t>Net increase in cash and cash equivalents</t>
  </si>
  <si>
    <t xml:space="preserve">Gain on cancellation of ICULS </t>
  </si>
  <si>
    <t xml:space="preserve">  shareholder in a subsidiary company</t>
  </si>
  <si>
    <t>Profit for the financial period</t>
  </si>
  <si>
    <t>UNAUDITED FINANCIAL REPORT FOR THE FINANCIAL PERIOD ENDED 31 DECEMBER 2008.</t>
  </si>
  <si>
    <t>The Finance costs exclude the 8% Irredeemable Convertible Unsecured Loan Stock ("ICULS") interest for the financial period ended 31 December 2008 of RM2,992,000</t>
  </si>
  <si>
    <t xml:space="preserve"> (2007 : RM4,185,000).  In accordance with the provisions of FRS 132 : Financial Instruments : Disclosure and Presentation, the ICULS interest of RM2,992,000 </t>
  </si>
  <si>
    <t>31/12/2008</t>
  </si>
  <si>
    <t>31/12/2007</t>
  </si>
  <si>
    <t>Gain on disposal of an associate company</t>
  </si>
  <si>
    <t>UNAUDITED FINANCIAL REPORT  FOR THE FINANCIAL PERIOD ENDED 31 DECEMBER 2008.</t>
  </si>
  <si>
    <t>CONDENSED CONSOLIDATED STATEMENTS OF CHANGES IN EQUITY FOR THE FINANCIAL PERIOD ENDED 31 DECEMBER 2008.</t>
  </si>
  <si>
    <t>Period ended 31 December 2008</t>
  </si>
  <si>
    <t>Balance as at 31 December 2008</t>
  </si>
  <si>
    <t>Dividends paid to minority shareholders</t>
  </si>
  <si>
    <t>Period ended 31 December 2007</t>
  </si>
  <si>
    <t>Balance as at 31 December 2007</t>
  </si>
  <si>
    <t>CONDENSED CONSOLIDATED CASH FLOW STATEMENTS FOR THE FINANCIAL PERIOD ENDED 31 DECEMBER 2008.</t>
  </si>
  <si>
    <t>Subscription of shares in associate companies</t>
  </si>
  <si>
    <t>Payment for development expenditure</t>
  </si>
  <si>
    <t>Cash received from redemption of preference shares in an associate company</t>
  </si>
  <si>
    <t>Cash received from divestment of an associate company</t>
  </si>
  <si>
    <t>Prepayment of land lease</t>
  </si>
  <si>
    <t>Dividends paid to minority shareholders of a subsidiary company</t>
  </si>
  <si>
    <t>Net cash generated from/(used in) financing activities</t>
  </si>
  <si>
    <t xml:space="preserve">  securities held for long term</t>
  </si>
  <si>
    <t xml:space="preserve">(Allowance for)/Writeback of diminution in value of quoted </t>
  </si>
  <si>
    <t xml:space="preserve">  marketable securities</t>
  </si>
  <si>
    <t>Gain on disposal of quoted securities</t>
  </si>
  <si>
    <t>Earnings per share (in sen)</t>
  </si>
  <si>
    <t>26 February 2009</t>
  </si>
  <si>
    <t>Included in Profit before taxation are the following items :-</t>
  </si>
  <si>
    <t xml:space="preserve"> minority shareholders</t>
  </si>
  <si>
    <t>Repayment of advances to</t>
  </si>
  <si>
    <t xml:space="preserve"> minority shareholder</t>
  </si>
  <si>
    <t>Subscription of redeemable preference</t>
  </si>
  <si>
    <t xml:space="preserve"> shares in a subsidiary company by a</t>
  </si>
  <si>
    <t xml:space="preserve">Repayment of advances to minority shareholders </t>
  </si>
  <si>
    <t>TOTAL EQUITY</t>
  </si>
  <si>
    <t>Subscription of redeemable preference shares by a minority</t>
  </si>
  <si>
    <t>Tax (paid)/refund</t>
  </si>
  <si>
    <t>Proceeds from disposal of non-current assets held for sale</t>
  </si>
  <si>
    <t>Purchase of long term investment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</si>
</sst>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38" fontId="0" fillId="0" borderId="15" xfId="0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winnie\con062008%20(For%20final%20account)\Eps06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1208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1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596571.7000000001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Analysis of project "/>
      <sheetName val="Project interest recognised"/>
      <sheetName val="Goodwill"/>
      <sheetName val="MINORITY.XLS"/>
    </sheetNames>
    <sheetDataSet>
      <sheetData sheetId="8">
        <row r="10">
          <cell r="U10">
            <v>56267.263420673</v>
          </cell>
        </row>
        <row r="12">
          <cell r="U12">
            <v>4949.23078</v>
          </cell>
        </row>
        <row r="16">
          <cell r="U16">
            <v>19192.26730846313</v>
          </cell>
        </row>
        <row r="19">
          <cell r="U19">
            <v>50476.1367</v>
          </cell>
        </row>
        <row r="21">
          <cell r="U21">
            <v>22067.30409</v>
          </cell>
        </row>
        <row r="23">
          <cell r="U23">
            <v>37575.62086</v>
          </cell>
        </row>
        <row r="25">
          <cell r="U25">
            <v>55825.7011</v>
          </cell>
        </row>
        <row r="27">
          <cell r="U27">
            <v>184.40348777850434</v>
          </cell>
        </row>
        <row r="30">
          <cell r="U30">
            <v>3991.9719999999998</v>
          </cell>
        </row>
        <row r="32">
          <cell r="U32">
            <v>53670.2097</v>
          </cell>
        </row>
        <row r="33">
          <cell r="U33">
            <v>143547.866678631</v>
          </cell>
        </row>
        <row r="34">
          <cell r="U34">
            <v>7090</v>
          </cell>
        </row>
        <row r="35">
          <cell r="U35">
            <v>30992.975577512036</v>
          </cell>
        </row>
        <row r="38">
          <cell r="U38">
            <v>37391.616808368635</v>
          </cell>
        </row>
        <row r="39">
          <cell r="U39">
            <v>10417.23068</v>
          </cell>
        </row>
        <row r="51">
          <cell r="U51">
            <v>-2499</v>
          </cell>
        </row>
        <row r="52">
          <cell r="U52">
            <v>22836.409979010998</v>
          </cell>
        </row>
        <row r="53">
          <cell r="U53">
            <v>111873.215653955</v>
          </cell>
        </row>
        <row r="54">
          <cell r="U54">
            <v>346116.032</v>
          </cell>
        </row>
        <row r="55">
          <cell r="U55">
            <v>29717.057040275</v>
          </cell>
        </row>
        <row r="60">
          <cell r="U60">
            <v>192305.264250677</v>
          </cell>
        </row>
        <row r="61">
          <cell r="U61">
            <v>1209</v>
          </cell>
        </row>
        <row r="62">
          <cell r="U62">
            <v>36817.715067151</v>
          </cell>
        </row>
        <row r="63">
          <cell r="U63">
            <v>3472.99119</v>
          </cell>
        </row>
        <row r="67">
          <cell r="U67">
            <v>1248.413605458</v>
          </cell>
        </row>
        <row r="70">
          <cell r="U70">
            <v>28504</v>
          </cell>
        </row>
        <row r="72">
          <cell r="U72">
            <v>979</v>
          </cell>
        </row>
        <row r="78">
          <cell r="U78">
            <v>72.55364999999999</v>
          </cell>
        </row>
        <row r="83">
          <cell r="U83">
            <v>618966.1163726199</v>
          </cell>
        </row>
        <row r="87">
          <cell r="U87">
            <v>66393.57</v>
          </cell>
        </row>
        <row r="90">
          <cell r="U90">
            <v>1199</v>
          </cell>
        </row>
        <row r="91">
          <cell r="U91">
            <v>-11289</v>
          </cell>
        </row>
        <row r="92">
          <cell r="U92">
            <v>11553.710183540541</v>
          </cell>
        </row>
        <row r="104">
          <cell r="U104">
            <v>-2991</v>
          </cell>
        </row>
        <row r="107">
          <cell r="U107">
            <v>-10550.315141201907</v>
          </cell>
        </row>
        <row r="109">
          <cell r="U109">
            <v>14673.373369785622</v>
          </cell>
        </row>
        <row r="116">
          <cell r="U116">
            <v>773.8280985079998</v>
          </cell>
        </row>
        <row r="117">
          <cell r="U117">
            <v>2981</v>
          </cell>
        </row>
        <row r="118">
          <cell r="U118">
            <v>74367</v>
          </cell>
        </row>
        <row r="119">
          <cell r="U119">
            <v>8155.15807</v>
          </cell>
        </row>
        <row r="130">
          <cell r="U130">
            <v>105308.27683821865</v>
          </cell>
        </row>
        <row r="234">
          <cell r="U234">
            <v>54794.5433</v>
          </cell>
        </row>
        <row r="235">
          <cell r="U235">
            <v>510.7711498320001</v>
          </cell>
        </row>
        <row r="237">
          <cell r="U237">
            <v>-1034.245158767</v>
          </cell>
        </row>
        <row r="243">
          <cell r="U243">
            <v>28201.968096434633</v>
          </cell>
        </row>
        <row r="245">
          <cell r="U245">
            <v>-2058.866428887152</v>
          </cell>
        </row>
        <row r="247">
          <cell r="U247">
            <v>-0.0004949999991804362</v>
          </cell>
        </row>
        <row r="651">
          <cell r="N651">
            <v>11444.035071934002</v>
          </cell>
        </row>
        <row r="674">
          <cell r="P674">
            <v>50408.81801208301</v>
          </cell>
        </row>
        <row r="685">
          <cell r="P685">
            <v>29130.80052</v>
          </cell>
        </row>
        <row r="686">
          <cell r="P686">
            <v>18.09959</v>
          </cell>
        </row>
        <row r="688">
          <cell r="P688">
            <v>3662.98105289</v>
          </cell>
        </row>
        <row r="692">
          <cell r="P692">
            <v>58352.391435667</v>
          </cell>
        </row>
        <row r="698">
          <cell r="P698">
            <v>1249.393114499001</v>
          </cell>
        </row>
      </sheetData>
      <sheetData sheetId="14">
        <row r="15">
          <cell r="AD15">
            <v>-0.1899265000001833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592779.2</v>
          </cell>
        </row>
        <row r="46">
          <cell r="C46">
            <v>4.398625395044223</v>
          </cell>
        </row>
        <row r="58">
          <cell r="C58">
            <v>3.9094547513051423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bad&amp;doubtful debts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-14.224000927499986</v>
          </cell>
          <cell r="E9">
            <v>-16</v>
          </cell>
        </row>
        <row r="25">
          <cell r="F25">
            <v>-2499</v>
          </cell>
        </row>
      </sheetData>
      <sheetData sheetId="8">
        <row r="8">
          <cell r="G8">
            <v>29235.796941452245</v>
          </cell>
        </row>
        <row r="36">
          <cell r="G36">
            <v>1249.393114499001</v>
          </cell>
        </row>
        <row r="37">
          <cell r="G37">
            <v>-5239.902239543002</v>
          </cell>
        </row>
        <row r="39">
          <cell r="I39">
            <v>-12014.387632978009</v>
          </cell>
        </row>
        <row r="43">
          <cell r="G43">
            <v>0.3791400000000005</v>
          </cell>
        </row>
        <row r="44">
          <cell r="G44">
            <v>-733</v>
          </cell>
        </row>
        <row r="45">
          <cell r="G45">
            <v>-825.2202958174984</v>
          </cell>
        </row>
        <row r="46">
          <cell r="G46">
            <v>-21257.9156</v>
          </cell>
        </row>
        <row r="47">
          <cell r="G47">
            <v>-6848.838808368635</v>
          </cell>
        </row>
        <row r="48">
          <cell r="G48">
            <v>52198.521649001974</v>
          </cell>
        </row>
        <row r="49">
          <cell r="G49">
            <v>-153.0929299999998</v>
          </cell>
        </row>
        <row r="50">
          <cell r="G50">
            <v>-1160</v>
          </cell>
        </row>
        <row r="51">
          <cell r="G51">
            <v>-4295.8092413225</v>
          </cell>
        </row>
        <row r="52">
          <cell r="G52">
            <v>-4413</v>
          </cell>
        </row>
        <row r="56">
          <cell r="G56">
            <v>5239.902239543002</v>
          </cell>
        </row>
        <row r="57">
          <cell r="G57">
            <v>-4240.393114499001</v>
          </cell>
        </row>
        <row r="58">
          <cell r="G58">
            <v>-909.9901178169998</v>
          </cell>
        </row>
        <row r="64">
          <cell r="G64">
            <v>-13999.395895024001</v>
          </cell>
        </row>
        <row r="65">
          <cell r="G65">
            <v>16.843783073998722</v>
          </cell>
        </row>
        <row r="66">
          <cell r="G66">
            <v>1000</v>
          </cell>
        </row>
        <row r="67">
          <cell r="G67">
            <v>-40</v>
          </cell>
        </row>
        <row r="69">
          <cell r="G69">
            <v>-19.304089999999995</v>
          </cell>
        </row>
        <row r="70">
          <cell r="G70">
            <v>-4377.81102</v>
          </cell>
        </row>
        <row r="71">
          <cell r="G71">
            <v>1716.43177</v>
          </cell>
        </row>
        <row r="72">
          <cell r="G72">
            <v>-6499.923242510999</v>
          </cell>
        </row>
        <row r="73">
          <cell r="G73">
            <v>1306.3925245080002</v>
          </cell>
        </row>
        <row r="75">
          <cell r="G75">
            <v>71777.2813</v>
          </cell>
        </row>
        <row r="81">
          <cell r="G81">
            <v>-5720.43286999999</v>
          </cell>
        </row>
        <row r="82">
          <cell r="G82">
            <v>-100.04899999999907</v>
          </cell>
        </row>
        <row r="84">
          <cell r="G84">
            <v>-1846.2971989999999</v>
          </cell>
        </row>
        <row r="85">
          <cell r="G85">
            <v>25828.299843348002</v>
          </cell>
        </row>
        <row r="86">
          <cell r="G86">
            <v>-8217.299843348</v>
          </cell>
        </row>
        <row r="87">
          <cell r="G87">
            <v>-1157</v>
          </cell>
        </row>
        <row r="88">
          <cell r="G88">
            <v>-2499</v>
          </cell>
        </row>
        <row r="89">
          <cell r="G89">
            <v>-1470</v>
          </cell>
        </row>
        <row r="90">
          <cell r="G90">
            <v>300</v>
          </cell>
        </row>
        <row r="98">
          <cell r="G98">
            <v>593.0432265494965</v>
          </cell>
        </row>
        <row r="105">
          <cell r="G105">
            <v>28050.052240275003</v>
          </cell>
        </row>
        <row r="106">
          <cell r="G106">
            <v>265101.049583955</v>
          </cell>
        </row>
        <row r="107">
          <cell r="G107">
            <v>-979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5" zoomScaleNormal="75" workbookViewId="0" topLeftCell="A49">
      <selection activeCell="G33" sqref="G33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16"/>
    </row>
    <row r="2" spans="1:10" ht="12.75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16"/>
    </row>
    <row r="3" spans="1:10" ht="12.75">
      <c r="A3" s="124" t="s">
        <v>24</v>
      </c>
      <c r="B3" s="124"/>
      <c r="C3" s="124"/>
      <c r="D3" s="124"/>
      <c r="E3" s="124"/>
      <c r="F3" s="124"/>
      <c r="G3" s="124"/>
      <c r="H3" s="124"/>
      <c r="I3" s="124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0"/>
    </row>
    <row r="5" spans="1:10" ht="13.5" thickBot="1">
      <c r="A5" s="59" t="s">
        <v>191</v>
      </c>
      <c r="B5" s="40"/>
      <c r="C5" s="40"/>
      <c r="D5" s="40"/>
      <c r="E5" s="40"/>
      <c r="F5" s="40"/>
      <c r="G5" s="40"/>
      <c r="H5" s="40"/>
      <c r="I5" s="40"/>
      <c r="J5" s="110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0"/>
    </row>
    <row r="7" spans="1:10" ht="15.75">
      <c r="A7" s="38" t="s">
        <v>31</v>
      </c>
      <c r="B7" s="30"/>
      <c r="C7" s="27"/>
      <c r="D7" s="28"/>
      <c r="E7" s="28"/>
      <c r="F7" s="28"/>
      <c r="G7" s="31"/>
      <c r="H7" s="31"/>
      <c r="I7" s="117"/>
      <c r="J7" s="110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65</v>
      </c>
    </row>
    <row r="11" spans="1:9" ht="12.75">
      <c r="A11" s="9"/>
      <c r="B11" s="8"/>
      <c r="C11" s="8"/>
      <c r="D11" s="9"/>
      <c r="E11" s="9"/>
      <c r="F11" s="9"/>
      <c r="G11" s="72" t="s">
        <v>188</v>
      </c>
      <c r="H11" s="2"/>
      <c r="I11" s="70" t="s">
        <v>149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66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77</v>
      </c>
      <c r="B14" s="8"/>
      <c r="C14" s="8"/>
      <c r="D14" s="9"/>
      <c r="E14" s="9"/>
      <c r="F14" s="9"/>
    </row>
    <row r="15" spans="1:9" ht="12.75">
      <c r="A15" s="4" t="s">
        <v>78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114</v>
      </c>
      <c r="C16" s="28"/>
      <c r="D16" s="28"/>
      <c r="E16" s="9"/>
      <c r="F16" s="9"/>
      <c r="G16" s="10">
        <f>'[2]M-GER95A.XLS'!$U$10</f>
        <v>56267.263420673</v>
      </c>
      <c r="H16" s="10"/>
      <c r="I16" s="10">
        <v>46523</v>
      </c>
    </row>
    <row r="17" spans="1:9" ht="12.75">
      <c r="A17" s="25"/>
      <c r="B17" s="26" t="s">
        <v>115</v>
      </c>
      <c r="C17" s="27"/>
      <c r="D17" s="28"/>
      <c r="E17" s="9"/>
      <c r="F17" s="9"/>
      <c r="G17" s="10">
        <f>'[2]M-GER95A.XLS'!$U$25</f>
        <v>55825.7011</v>
      </c>
      <c r="H17" s="10"/>
      <c r="I17" s="10">
        <v>48769</v>
      </c>
    </row>
    <row r="18" spans="1:9" ht="12.75">
      <c r="A18" s="25"/>
      <c r="B18" s="26" t="s">
        <v>139</v>
      </c>
      <c r="C18" s="27"/>
      <c r="D18" s="28"/>
      <c r="E18" s="9"/>
      <c r="F18" s="9"/>
      <c r="G18" s="10">
        <f>'[2]M-GER95A.XLS'!$U$12</f>
        <v>4949.23078</v>
      </c>
      <c r="H18" s="10"/>
      <c r="I18" s="118">
        <v>583</v>
      </c>
    </row>
    <row r="19" spans="1:9" ht="12.75">
      <c r="A19" s="25"/>
      <c r="B19" s="26" t="s">
        <v>116</v>
      </c>
      <c r="C19" s="27"/>
      <c r="D19" s="28"/>
      <c r="E19" s="9"/>
      <c r="F19" s="9"/>
      <c r="G19" s="10">
        <f>'[2]M-GER95A.XLS'!$U$23</f>
        <v>37575.62086</v>
      </c>
      <c r="H19" s="10"/>
      <c r="I19" s="10">
        <v>37576</v>
      </c>
    </row>
    <row r="20" spans="1:9" ht="12.75">
      <c r="A20" s="25"/>
      <c r="B20" s="26" t="s">
        <v>117</v>
      </c>
      <c r="C20" s="27"/>
      <c r="D20" s="28"/>
      <c r="E20" s="9"/>
      <c r="F20" s="9"/>
      <c r="G20" s="10">
        <f>'[2]M-GER95A.XLS'!$U$19+5438</f>
        <v>55914.1367</v>
      </c>
      <c r="H20" s="10"/>
      <c r="I20" s="10">
        <v>58703</v>
      </c>
    </row>
    <row r="21" spans="1:9" ht="12.75">
      <c r="A21" s="25"/>
      <c r="B21" s="25" t="s">
        <v>169</v>
      </c>
      <c r="C21" s="28"/>
      <c r="D21" s="28"/>
      <c r="E21" s="9"/>
      <c r="F21" s="9"/>
      <c r="G21" s="10">
        <f>'[2]M-GER95A.XLS'!$U$16-'[2]ASSC.XLS'!$AD$15</f>
        <v>19192.45723496313</v>
      </c>
      <c r="H21" s="10"/>
      <c r="I21" s="10">
        <f>15838+3416</f>
        <v>19254</v>
      </c>
    </row>
    <row r="22" spans="1:9" ht="12.75">
      <c r="A22" s="25"/>
      <c r="B22" s="26" t="s">
        <v>118</v>
      </c>
      <c r="C22" s="27"/>
      <c r="D22" s="28"/>
      <c r="E22" s="9"/>
      <c r="F22" s="9"/>
      <c r="G22" s="10">
        <f>'[2]M-GER95A.XLS'!$U$21+'[2]M-GER95A.XLS'!$U$78+'[2]M-GER95A.XLS'!$U$27</f>
        <v>22324.26122777851</v>
      </c>
      <c r="H22" s="10"/>
      <c r="I22" s="10">
        <f>22953+1633</f>
        <v>24586</v>
      </c>
    </row>
    <row r="23" spans="1:9" ht="12.75">
      <c r="A23" s="25"/>
      <c r="B23" s="26" t="s">
        <v>119</v>
      </c>
      <c r="C23" s="27"/>
      <c r="D23" s="28"/>
      <c r="E23" s="9"/>
      <c r="F23" s="9"/>
      <c r="G23" s="10">
        <f>'[2]M-GER95A.XLS'!$U$30</f>
        <v>3991.9719999999998</v>
      </c>
      <c r="H23" s="10"/>
      <c r="I23" s="10">
        <v>3992</v>
      </c>
    </row>
    <row r="24" spans="1:9" ht="12.75">
      <c r="A24" s="25"/>
      <c r="B24" s="28"/>
      <c r="C24" s="27"/>
      <c r="D24" s="28"/>
      <c r="E24" s="9"/>
      <c r="F24" s="9"/>
      <c r="G24" s="13">
        <f>SUM(G16:G23)-1</f>
        <v>256039.64332341467</v>
      </c>
      <c r="H24" s="10"/>
      <c r="I24" s="13">
        <f>SUM(I16:I23)</f>
        <v>239986</v>
      </c>
    </row>
    <row r="25" spans="1:9" ht="12.75">
      <c r="A25" s="25"/>
      <c r="B25" s="28"/>
      <c r="C25" s="27"/>
      <c r="D25" s="28"/>
      <c r="E25" s="9"/>
      <c r="F25" s="9"/>
      <c r="G25" s="10"/>
      <c r="H25" s="10"/>
      <c r="I25" s="10"/>
    </row>
    <row r="26" spans="1:9" ht="12.75">
      <c r="A26" s="42" t="s">
        <v>2</v>
      </c>
      <c r="B26" s="43"/>
      <c r="C26" s="42"/>
      <c r="D26" s="9"/>
      <c r="E26" s="9"/>
      <c r="F26" s="9"/>
      <c r="G26" s="10"/>
      <c r="H26" s="10"/>
      <c r="I26" s="10"/>
    </row>
    <row r="27" spans="1:9" ht="12.75">
      <c r="A27" s="42"/>
      <c r="B27" s="28" t="s">
        <v>133</v>
      </c>
      <c r="C27" s="42"/>
      <c r="D27" s="9"/>
      <c r="E27" s="9"/>
      <c r="F27" s="9"/>
      <c r="G27" s="10">
        <f>'[2]M-GER95A.XLS'!$U$38</f>
        <v>37391.616808368635</v>
      </c>
      <c r="H27" s="10"/>
      <c r="I27" s="10">
        <v>30543</v>
      </c>
    </row>
    <row r="28" spans="1:9" ht="12.75">
      <c r="A28" s="42"/>
      <c r="B28" s="25" t="s">
        <v>10</v>
      </c>
      <c r="C28" s="25"/>
      <c r="D28" s="9"/>
      <c r="E28" s="9"/>
      <c r="F28" s="9"/>
      <c r="G28" s="11">
        <f>'[2]M-GER95A.XLS'!$U$52</f>
        <v>22836.409979010998</v>
      </c>
      <c r="H28" s="11"/>
      <c r="I28" s="11">
        <v>21957</v>
      </c>
    </row>
    <row r="29" spans="1:9" ht="12.75">
      <c r="A29" s="42"/>
      <c r="B29" s="25" t="s">
        <v>95</v>
      </c>
      <c r="C29" s="26"/>
      <c r="D29" s="9"/>
      <c r="E29" s="9"/>
      <c r="F29" s="9"/>
      <c r="G29" s="11">
        <f>'[2]M-GER95A.XLS'!$U$33</f>
        <v>143547.866678631</v>
      </c>
      <c r="H29" s="11"/>
      <c r="I29" s="11">
        <v>204549</v>
      </c>
    </row>
    <row r="30" spans="1:9" ht="12.75">
      <c r="A30" s="42"/>
      <c r="B30" s="26" t="s">
        <v>129</v>
      </c>
      <c r="C30" s="26"/>
      <c r="D30" s="9"/>
      <c r="E30" s="9"/>
      <c r="F30" s="9"/>
      <c r="G30" s="11">
        <f>'[2]M-GER95A.XLS'!$U$34</f>
        <v>7090</v>
      </c>
      <c r="H30" s="11"/>
      <c r="I30" s="21">
        <v>5930</v>
      </c>
    </row>
    <row r="31" spans="1:9" ht="12.75">
      <c r="A31" s="42"/>
      <c r="B31" s="26" t="s">
        <v>96</v>
      </c>
      <c r="C31" s="26"/>
      <c r="D31" s="9"/>
      <c r="E31" s="9"/>
      <c r="F31" s="9"/>
      <c r="G31" s="11">
        <f>'[2]M-GER95A.XLS'!$U$35</f>
        <v>30992.975577512036</v>
      </c>
      <c r="H31" s="11"/>
      <c r="I31" s="11">
        <v>34803</v>
      </c>
    </row>
    <row r="32" spans="1:9" ht="12.75">
      <c r="A32" s="42"/>
      <c r="B32" s="26" t="s">
        <v>14</v>
      </c>
      <c r="C32" s="26"/>
      <c r="D32" s="9"/>
      <c r="E32" s="9"/>
      <c r="F32" s="9"/>
      <c r="G32" s="11">
        <f>'[2]M-GER95A.XLS'!$U$32-5438</f>
        <v>48232.2097</v>
      </c>
      <c r="H32" s="11"/>
      <c r="I32" s="11">
        <v>50466</v>
      </c>
    </row>
    <row r="33" spans="1:9" ht="12.75">
      <c r="A33" s="42"/>
      <c r="B33" s="26" t="s">
        <v>72</v>
      </c>
      <c r="C33" s="26"/>
      <c r="D33" s="9"/>
      <c r="E33" s="9"/>
      <c r="F33" s="9"/>
      <c r="G33" s="11">
        <f>'[2]M-GER95A.XLS'!$U$39</f>
        <v>10417.23068</v>
      </c>
      <c r="H33" s="11"/>
      <c r="I33" s="11">
        <v>9820</v>
      </c>
    </row>
    <row r="34" spans="1:9" ht="12.75">
      <c r="A34" s="42"/>
      <c r="B34" s="26" t="s">
        <v>15</v>
      </c>
      <c r="C34" s="26"/>
      <c r="D34" s="9"/>
      <c r="E34" s="9"/>
      <c r="F34" s="9"/>
      <c r="G34" s="11"/>
      <c r="H34" s="11"/>
      <c r="I34" s="11"/>
    </row>
    <row r="35" spans="1:9" ht="12.75">
      <c r="A35" s="42"/>
      <c r="B35" s="25" t="s">
        <v>16</v>
      </c>
      <c r="C35" s="26"/>
      <c r="D35" s="9"/>
      <c r="E35" s="9"/>
      <c r="F35" s="9"/>
      <c r="G35" s="11">
        <f>'[2]M-GER95A.XLS'!$U$53+'[2]M-GER95A.XLS'!$U$54</f>
        <v>457989.247653955</v>
      </c>
      <c r="H35" s="11"/>
      <c r="I35" s="11">
        <v>376775</v>
      </c>
    </row>
    <row r="36" spans="1:9" ht="12.75">
      <c r="A36" s="42"/>
      <c r="B36" s="26" t="s">
        <v>17</v>
      </c>
      <c r="C36" s="26"/>
      <c r="D36" s="9"/>
      <c r="E36" s="9"/>
      <c r="F36" s="9"/>
      <c r="G36" s="11">
        <f>'[2]M-GER95A.XLS'!$U$55</f>
        <v>29717.057040275</v>
      </c>
      <c r="H36" s="11"/>
      <c r="I36" s="11">
        <v>24451</v>
      </c>
    </row>
    <row r="37" spans="1:9" ht="12.75">
      <c r="A37" s="42"/>
      <c r="B37" s="43"/>
      <c r="C37" s="27"/>
      <c r="D37" s="9"/>
      <c r="E37" s="9"/>
      <c r="F37" s="9"/>
      <c r="G37" s="120">
        <f>SUM(G27:G36)-1</f>
        <v>788213.6141177526</v>
      </c>
      <c r="I37" s="120">
        <f>SUM(I27:I36)</f>
        <v>759294</v>
      </c>
    </row>
    <row r="38" spans="1:9" ht="12.75">
      <c r="A38" s="42"/>
      <c r="B38" s="100" t="s">
        <v>145</v>
      </c>
      <c r="C38" s="27"/>
      <c r="D38" s="9"/>
      <c r="E38" s="9"/>
      <c r="F38" s="9"/>
      <c r="G38" s="11">
        <f>'[2]ASSC.XLS'!$AD$15</f>
        <v>-0.1899265000001833</v>
      </c>
      <c r="I38" s="121">
        <v>16753</v>
      </c>
    </row>
    <row r="39" spans="1:9" ht="12.75">
      <c r="A39" s="42"/>
      <c r="B39" s="43"/>
      <c r="C39" s="27"/>
      <c r="D39" s="9"/>
      <c r="E39" s="9"/>
      <c r="F39" s="9"/>
      <c r="G39" s="13">
        <f>G38+G37+1</f>
        <v>788214.4241912527</v>
      </c>
      <c r="I39" s="13">
        <f>I38+I37</f>
        <v>776047</v>
      </c>
    </row>
    <row r="40" spans="1:9" ht="12.75">
      <c r="A40" s="42"/>
      <c r="B40" s="43"/>
      <c r="C40" s="27"/>
      <c r="D40" s="9"/>
      <c r="E40" s="9"/>
      <c r="F40" s="9"/>
      <c r="G40" s="11"/>
      <c r="I40" s="11"/>
    </row>
    <row r="41" spans="1:9" ht="13.5" thickBot="1">
      <c r="A41" s="42" t="s">
        <v>79</v>
      </c>
      <c r="B41" s="43"/>
      <c r="C41" s="27"/>
      <c r="D41" s="9"/>
      <c r="E41" s="9"/>
      <c r="F41" s="9"/>
      <c r="G41" s="99">
        <f>G39+G24</f>
        <v>1044254.0675146673</v>
      </c>
      <c r="I41" s="99">
        <f>I39+I24</f>
        <v>1016033</v>
      </c>
    </row>
    <row r="42" spans="1:9" ht="13.5" thickTop="1">
      <c r="A42" s="42"/>
      <c r="B42" s="43"/>
      <c r="C42" s="27"/>
      <c r="D42" s="9"/>
      <c r="E42" s="9"/>
      <c r="F42" s="9"/>
      <c r="G42" s="11"/>
      <c r="I42" s="11"/>
    </row>
    <row r="43" spans="1:9" ht="12.75">
      <c r="A43" s="42"/>
      <c r="B43" s="43"/>
      <c r="C43" s="27"/>
      <c r="D43" s="9"/>
      <c r="E43" s="9"/>
      <c r="F43" s="9"/>
      <c r="G43" s="11"/>
      <c r="I43" s="11"/>
    </row>
    <row r="44" spans="1:9" ht="12.75">
      <c r="A44" s="42" t="s">
        <v>80</v>
      </c>
      <c r="B44" s="43"/>
      <c r="C44" s="27"/>
      <c r="D44" s="9"/>
      <c r="E44" s="9"/>
      <c r="F44" s="9"/>
      <c r="G44" s="11"/>
      <c r="H44" s="11"/>
      <c r="I44" s="11"/>
    </row>
    <row r="45" spans="1:9" ht="12.75">
      <c r="A45" s="44" t="s">
        <v>137</v>
      </c>
      <c r="B45" s="43"/>
      <c r="C45" s="27"/>
      <c r="D45" s="9"/>
      <c r="E45" s="9"/>
      <c r="F45" s="9"/>
      <c r="G45" s="11"/>
      <c r="H45" s="11"/>
      <c r="I45" s="11"/>
    </row>
    <row r="46" spans="1:9" ht="12.75">
      <c r="A46" s="25"/>
      <c r="B46" s="26" t="s">
        <v>120</v>
      </c>
      <c r="C46" s="43"/>
      <c r="D46" s="9"/>
      <c r="E46" s="9"/>
      <c r="F46" s="9"/>
      <c r="G46" s="10">
        <f>'[2]M-GER95A.XLS'!$U$83</f>
        <v>618966.1163726199</v>
      </c>
      <c r="I46" s="10">
        <v>618966</v>
      </c>
    </row>
    <row r="47" spans="1:9" ht="12.75">
      <c r="A47" s="25"/>
      <c r="B47" s="26" t="s">
        <v>121</v>
      </c>
      <c r="C47" s="43"/>
      <c r="D47" s="9"/>
      <c r="E47" s="9"/>
      <c r="F47" s="9"/>
      <c r="G47" s="10">
        <f>'[2]M-GER95A.XLS'!$U$87+'[2]M-GER95A.XLS'!$U$90+'[2]M-GER95A.XLS'!$U$91+'[2]M-GER95A.XLS'!$U$92</f>
        <v>67857.28018354054</v>
      </c>
      <c r="I47" s="10">
        <v>68103</v>
      </c>
    </row>
    <row r="48" spans="1:9" ht="12.75">
      <c r="A48" s="25"/>
      <c r="B48" s="26" t="s">
        <v>122</v>
      </c>
      <c r="C48" s="43"/>
      <c r="D48" s="9"/>
      <c r="E48" s="9"/>
      <c r="F48" s="9"/>
      <c r="G48" s="10"/>
      <c r="I48" s="10"/>
    </row>
    <row r="49" spans="1:9" ht="12.75">
      <c r="A49" s="25"/>
      <c r="B49" s="25" t="s">
        <v>141</v>
      </c>
      <c r="C49" s="43"/>
      <c r="D49" s="9"/>
      <c r="E49" s="9"/>
      <c r="F49" s="9"/>
      <c r="G49" s="10">
        <f>'[2]M-GER95A.XLS'!$U$118</f>
        <v>74367</v>
      </c>
      <c r="I49" s="10">
        <f>103768-24725</f>
        <v>79043</v>
      </c>
    </row>
    <row r="50" spans="1:10" ht="12.75">
      <c r="A50" s="25"/>
      <c r="B50" s="26" t="s">
        <v>123</v>
      </c>
      <c r="C50" s="4"/>
      <c r="D50" s="9"/>
      <c r="E50" s="9"/>
      <c r="F50" s="9"/>
      <c r="G50" s="96">
        <f>'[2]M-GER95A.XLS'!$U$107-1</f>
        <v>-10551.315141201907</v>
      </c>
      <c r="I50" s="96">
        <v>-38377</v>
      </c>
      <c r="J50" s="1"/>
    </row>
    <row r="51" spans="1:9" ht="12.75">
      <c r="A51" s="25"/>
      <c r="B51" s="28"/>
      <c r="C51" s="43"/>
      <c r="D51" s="9"/>
      <c r="E51" s="9"/>
      <c r="F51" s="9"/>
      <c r="G51" s="46">
        <f>SUM(G46:G50)</f>
        <v>750639.0814149585</v>
      </c>
      <c r="I51" s="46">
        <f>SUM(I46:I50)</f>
        <v>727735</v>
      </c>
    </row>
    <row r="52" spans="1:10" ht="12.75">
      <c r="A52" s="14" t="s">
        <v>5</v>
      </c>
      <c r="B52" s="28"/>
      <c r="C52" s="43"/>
      <c r="D52" s="9"/>
      <c r="E52" s="9"/>
      <c r="F52" s="9"/>
      <c r="G52" s="10">
        <f>'[2]M-GER95A.XLS'!$U$109-'[2]M-GER95A.XLS'!$U$51</f>
        <v>17172.373369785622</v>
      </c>
      <c r="I52" s="10">
        <v>18752</v>
      </c>
      <c r="J52" s="1"/>
    </row>
    <row r="53" spans="1:9" ht="12.75">
      <c r="A53" s="60" t="s">
        <v>219</v>
      </c>
      <c r="B53" s="28"/>
      <c r="C53" s="43"/>
      <c r="D53" s="9"/>
      <c r="E53" s="9"/>
      <c r="F53" s="9"/>
      <c r="G53" s="13">
        <f>G51+G52</f>
        <v>767811.4547847441</v>
      </c>
      <c r="I53" s="13">
        <f>I51+I52</f>
        <v>746487</v>
      </c>
    </row>
    <row r="54" spans="1:9" ht="12.75">
      <c r="A54" s="101"/>
      <c r="B54" s="28"/>
      <c r="C54" s="43"/>
      <c r="D54" s="9"/>
      <c r="E54" s="9"/>
      <c r="F54" s="9"/>
      <c r="G54" s="11"/>
      <c r="I54" s="11"/>
    </row>
    <row r="55" spans="1:9" ht="12.75">
      <c r="A55" s="14" t="s">
        <v>81</v>
      </c>
      <c r="B55" s="28"/>
      <c r="C55" s="43"/>
      <c r="D55" s="9"/>
      <c r="E55" s="9"/>
      <c r="F55" s="9"/>
      <c r="G55" s="11"/>
      <c r="I55" s="11"/>
    </row>
    <row r="56" spans="1:9" ht="12.75">
      <c r="A56" s="100"/>
      <c r="B56" s="100" t="s">
        <v>170</v>
      </c>
      <c r="C56" s="28"/>
      <c r="D56" s="28"/>
      <c r="E56" s="28"/>
      <c r="F56" s="28"/>
      <c r="G56" s="31">
        <f>'[2]M-GER95A.XLS'!$U$119</f>
        <v>8155.15807</v>
      </c>
      <c r="H56" s="28"/>
      <c r="I56" s="31">
        <v>8840</v>
      </c>
    </row>
    <row r="57" spans="1:9" ht="12.75">
      <c r="A57" s="100"/>
      <c r="B57" s="100" t="s">
        <v>18</v>
      </c>
      <c r="C57" s="28"/>
      <c r="D57" s="28"/>
      <c r="E57" s="28"/>
      <c r="F57" s="28"/>
      <c r="G57" s="31">
        <f>'[2]M-GER95A.XLS'!$U$117</f>
        <v>2981</v>
      </c>
      <c r="H57" s="28"/>
      <c r="I57" s="31">
        <v>4930</v>
      </c>
    </row>
    <row r="58" spans="1:9" ht="12.75">
      <c r="A58" s="100"/>
      <c r="B58" s="115" t="s">
        <v>124</v>
      </c>
      <c r="C58" s="43"/>
      <c r="D58" s="9"/>
      <c r="E58" s="9"/>
      <c r="F58" s="9"/>
      <c r="G58" s="10">
        <f>'[2]M-GER95A.XLS'!$U$116</f>
        <v>773.8280985079998</v>
      </c>
      <c r="I58" s="10">
        <v>774</v>
      </c>
    </row>
    <row r="59" spans="1:9" ht="12.75">
      <c r="A59" s="43"/>
      <c r="B59" s="43"/>
      <c r="C59" s="43"/>
      <c r="D59" s="9"/>
      <c r="E59" s="9"/>
      <c r="F59" s="9"/>
      <c r="G59" s="13">
        <f>G58+G56+G57</f>
        <v>11909.986168508</v>
      </c>
      <c r="I59" s="13">
        <f>SUM(I56:I58)</f>
        <v>14544</v>
      </c>
    </row>
    <row r="61" spans="1:9" ht="12.75">
      <c r="A61" s="42" t="s">
        <v>4</v>
      </c>
      <c r="B61" s="43"/>
      <c r="C61" s="27"/>
      <c r="D61" s="9"/>
      <c r="E61" s="9"/>
      <c r="F61" s="9"/>
      <c r="G61" s="11"/>
      <c r="H61" s="11"/>
      <c r="I61" s="11"/>
    </row>
    <row r="62" spans="1:9" ht="12.75">
      <c r="A62" s="42"/>
      <c r="B62" s="25" t="s">
        <v>97</v>
      </c>
      <c r="C62" s="26"/>
      <c r="D62" s="9"/>
      <c r="E62" s="9"/>
      <c r="F62" s="9"/>
      <c r="G62" s="11">
        <f>SUM('[2]M-GER95A.XLS'!$U$60)+1</f>
        <v>192306.264250677</v>
      </c>
      <c r="H62" s="11"/>
      <c r="I62" s="11">
        <v>204063</v>
      </c>
    </row>
    <row r="63" spans="1:9" ht="12.75">
      <c r="A63" s="42"/>
      <c r="B63" s="26" t="s">
        <v>130</v>
      </c>
      <c r="C63" s="26"/>
      <c r="D63" s="9"/>
      <c r="E63" s="9"/>
      <c r="F63" s="9"/>
      <c r="G63" s="11">
        <f>'[2]M-GER95A.XLS'!$U$61</f>
        <v>1209</v>
      </c>
      <c r="H63" s="11"/>
      <c r="I63" s="21">
        <v>5622</v>
      </c>
    </row>
    <row r="64" spans="1:9" ht="12.75">
      <c r="A64" s="42"/>
      <c r="B64" s="26" t="s">
        <v>99</v>
      </c>
      <c r="C64" s="26"/>
      <c r="D64" s="9"/>
      <c r="E64" s="9"/>
      <c r="F64" s="9"/>
      <c r="G64" s="1">
        <f>'[2]M-GER95A.XLS'!$U$62+'[2]M-GER95A.XLS'!$U$63-4</f>
        <v>40286.706257151</v>
      </c>
      <c r="H64" s="11"/>
      <c r="I64" s="11">
        <v>32895</v>
      </c>
    </row>
    <row r="65" spans="1:9" ht="12.75">
      <c r="A65" s="42"/>
      <c r="B65" s="26" t="s">
        <v>18</v>
      </c>
      <c r="C65" s="26"/>
      <c r="D65" s="9"/>
      <c r="E65" s="9"/>
      <c r="F65" s="9"/>
      <c r="G65" s="11">
        <f>'[2]M-GER95A.XLS'!$U$70+'[2]M-GER95A.XLS'!$U$72</f>
        <v>29483</v>
      </c>
      <c r="H65" s="11"/>
      <c r="I65" s="11">
        <v>11688</v>
      </c>
    </row>
    <row r="66" spans="1:9" ht="12.75">
      <c r="A66" s="42"/>
      <c r="B66" s="25" t="s">
        <v>171</v>
      </c>
      <c r="C66" s="27"/>
      <c r="D66" s="9"/>
      <c r="E66" s="9"/>
      <c r="F66" s="9"/>
      <c r="G66" s="11">
        <f>'[2]M-GER95A.XLS'!$U$67</f>
        <v>1248.413605458</v>
      </c>
      <c r="H66" s="11"/>
      <c r="I66" s="11">
        <v>734</v>
      </c>
    </row>
    <row r="67" spans="1:9" ht="12.75">
      <c r="A67" s="42"/>
      <c r="B67" s="43"/>
      <c r="C67" s="38"/>
      <c r="D67" s="9"/>
      <c r="E67" s="9"/>
      <c r="F67" s="9"/>
      <c r="G67" s="13">
        <f>SUM(G62:G66)</f>
        <v>264533.384113286</v>
      </c>
      <c r="I67" s="13">
        <f>SUM(I62:I66)</f>
        <v>255002</v>
      </c>
    </row>
    <row r="68" spans="1:9" ht="12.75">
      <c r="A68" s="42"/>
      <c r="B68" s="43"/>
      <c r="C68" s="38"/>
      <c r="D68" s="9"/>
      <c r="E68" s="9"/>
      <c r="F68" s="9"/>
      <c r="G68" s="11"/>
      <c r="I68" s="11"/>
    </row>
    <row r="69" spans="1:9" ht="12.75">
      <c r="A69" s="44" t="s">
        <v>82</v>
      </c>
      <c r="B69" s="43"/>
      <c r="C69" s="38"/>
      <c r="D69" s="9"/>
      <c r="E69" s="9"/>
      <c r="F69" s="9"/>
      <c r="G69" s="11">
        <f>G67+G59</f>
        <v>276443.370281794</v>
      </c>
      <c r="I69" s="11">
        <f>I67+I59</f>
        <v>269546</v>
      </c>
    </row>
    <row r="70" spans="2:9" ht="12.75">
      <c r="B70" s="43"/>
      <c r="C70" s="43"/>
      <c r="D70" s="9"/>
      <c r="E70" s="9"/>
      <c r="F70" s="9"/>
      <c r="G70" s="9"/>
      <c r="I70" s="10"/>
    </row>
    <row r="71" spans="1:9" ht="13.5" thickBot="1">
      <c r="A71" s="44" t="s">
        <v>83</v>
      </c>
      <c r="B71" s="43"/>
      <c r="C71" s="43"/>
      <c r="D71" s="9"/>
      <c r="E71" s="9"/>
      <c r="F71" s="9"/>
      <c r="G71" s="12">
        <f>G69+G53-1</f>
        <v>1044253.8250665381</v>
      </c>
      <c r="I71" s="12">
        <f>I69+I53</f>
        <v>1016033</v>
      </c>
    </row>
    <row r="72" spans="1:9" ht="13.5" thickTop="1">
      <c r="A72" s="3"/>
      <c r="C72" s="9"/>
      <c r="D72" s="9"/>
      <c r="E72" s="9"/>
      <c r="F72" s="9"/>
      <c r="G72" s="21">
        <f>G71-G41</f>
        <v>-0.24244812922552228</v>
      </c>
      <c r="I72" s="21"/>
    </row>
    <row r="73" spans="1:9" ht="12.75">
      <c r="A73" s="3"/>
      <c r="C73" s="9"/>
      <c r="D73" s="9"/>
      <c r="E73" s="9"/>
      <c r="F73" s="9"/>
      <c r="G73" s="21"/>
      <c r="I73" s="21"/>
    </row>
    <row r="74" spans="1:10" ht="12.75">
      <c r="A74" s="60" t="s">
        <v>128</v>
      </c>
      <c r="C74" s="9"/>
      <c r="D74" s="9"/>
      <c r="E74" s="9"/>
      <c r="F74" s="23"/>
      <c r="G74" s="75">
        <f>(G51-G49)/'[3]June08'!$C$38</f>
        <v>1.1408498837593466</v>
      </c>
      <c r="H74" s="21"/>
      <c r="I74" s="75">
        <f>(I51-I49)/'[1]June08'!$C$36</f>
        <v>1.0873663635066833</v>
      </c>
      <c r="J74" s="49"/>
    </row>
    <row r="75" spans="1:9" ht="12.75">
      <c r="A75" s="60"/>
      <c r="C75" s="9"/>
      <c r="D75" s="9"/>
      <c r="E75" s="9"/>
      <c r="F75" s="23"/>
      <c r="G75" s="75"/>
      <c r="H75" s="21"/>
      <c r="I75" s="75"/>
    </row>
    <row r="76" spans="1:9" ht="12.75">
      <c r="A76" s="60"/>
      <c r="C76" s="9"/>
      <c r="D76" s="9"/>
      <c r="E76" s="9"/>
      <c r="F76" s="23"/>
      <c r="G76" s="75"/>
      <c r="H76" s="21"/>
      <c r="I76" s="75"/>
    </row>
    <row r="77" spans="1:10" ht="12.75">
      <c r="A77" s="122" t="s">
        <v>125</v>
      </c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" ht="12.75">
      <c r="A78" s="122" t="s">
        <v>151</v>
      </c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ht="12.75">
      <c r="A79" s="122" t="s">
        <v>100</v>
      </c>
      <c r="B79" s="122"/>
      <c r="C79" s="122"/>
      <c r="D79" s="122"/>
      <c r="E79" s="122"/>
      <c r="F79" s="122"/>
      <c r="G79" s="122"/>
      <c r="H79" s="122"/>
      <c r="I79" s="122"/>
      <c r="J79" s="122"/>
    </row>
    <row r="81" ht="12.75">
      <c r="A81" s="54" t="s">
        <v>146</v>
      </c>
    </row>
    <row r="82" ht="12.75">
      <c r="A82" t="s">
        <v>131</v>
      </c>
    </row>
    <row r="86" spans="1:9" ht="12.75">
      <c r="A86" s="42"/>
      <c r="B86" s="43"/>
      <c r="C86" s="42"/>
      <c r="D86" s="9"/>
      <c r="E86" s="9"/>
      <c r="F86" s="9"/>
      <c r="G86" s="10"/>
      <c r="I86" s="10"/>
    </row>
    <row r="87" spans="1:9" ht="12.75">
      <c r="A87" s="102"/>
      <c r="B87" s="103"/>
      <c r="C87" s="103"/>
      <c r="D87" s="104"/>
      <c r="E87" s="104"/>
      <c r="F87" s="104"/>
      <c r="G87" s="105"/>
      <c r="H87" s="106"/>
      <c r="I87" s="105"/>
    </row>
    <row r="88" spans="1:9" ht="12.75">
      <c r="A88" s="102"/>
      <c r="B88" s="103"/>
      <c r="C88" s="102"/>
      <c r="D88" s="104"/>
      <c r="E88" s="104"/>
      <c r="F88" s="104"/>
      <c r="G88" s="105"/>
      <c r="H88" s="106"/>
      <c r="I88" s="105"/>
    </row>
  </sheetData>
  <mergeCells count="6">
    <mergeCell ref="A79:J79"/>
    <mergeCell ref="A78:J78"/>
    <mergeCell ref="A1:I1"/>
    <mergeCell ref="A2:I2"/>
    <mergeCell ref="A3:I3"/>
    <mergeCell ref="A77:J77"/>
  </mergeCells>
  <printOptions/>
  <pageMargins left="1.25" right="0" top="0.1" bottom="0" header="0.26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1"/>
  <sheetViews>
    <sheetView zoomScale="75" zoomScaleNormal="75" workbookViewId="0" topLeftCell="B26">
      <selection activeCell="F52" sqref="F52"/>
    </sheetView>
  </sheetViews>
  <sheetFormatPr defaultColWidth="9.140625" defaultRowHeight="12.75"/>
  <cols>
    <col min="1" max="1" width="25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25" t="s">
        <v>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>
      <c r="A2" s="126" t="s">
        <v>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>
      <c r="A3" s="126" t="s">
        <v>90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185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192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/>
      <c r="D9" s="14" t="s">
        <v>144</v>
      </c>
      <c r="E9" s="107"/>
      <c r="F9" s="107"/>
      <c r="G9" s="107"/>
      <c r="H9" s="107"/>
      <c r="I9" s="107"/>
      <c r="J9" s="107"/>
      <c r="L9" s="23" t="s">
        <v>84</v>
      </c>
      <c r="M9" s="23" t="s">
        <v>85</v>
      </c>
    </row>
    <row r="10" spans="4:13" ht="12.75">
      <c r="D10" s="23"/>
      <c r="E10" s="23"/>
      <c r="F10" s="23"/>
      <c r="G10" s="23"/>
      <c r="H10" s="23" t="s">
        <v>35</v>
      </c>
      <c r="I10" s="23"/>
      <c r="J10" s="23"/>
      <c r="L10" s="73" t="s">
        <v>108</v>
      </c>
      <c r="M10" s="23" t="s">
        <v>109</v>
      </c>
    </row>
    <row r="11" spans="4:12" ht="12.75">
      <c r="D11" s="23" t="s">
        <v>32</v>
      </c>
      <c r="E11" s="23" t="s">
        <v>33</v>
      </c>
      <c r="F11" s="23" t="s">
        <v>59</v>
      </c>
      <c r="G11" s="23" t="s">
        <v>34</v>
      </c>
      <c r="H11" s="23" t="s">
        <v>104</v>
      </c>
      <c r="I11" s="23" t="s">
        <v>36</v>
      </c>
      <c r="J11" s="23" t="s">
        <v>37</v>
      </c>
      <c r="K11" s="23" t="s">
        <v>39</v>
      </c>
      <c r="L11" s="23"/>
    </row>
    <row r="12" spans="4:10" ht="12.75">
      <c r="D12" s="23" t="s">
        <v>101</v>
      </c>
      <c r="E12" s="23" t="s">
        <v>102</v>
      </c>
      <c r="F12" s="73" t="s">
        <v>60</v>
      </c>
      <c r="G12" s="23" t="s">
        <v>103</v>
      </c>
      <c r="H12" s="23" t="s">
        <v>105</v>
      </c>
      <c r="I12" s="23" t="s">
        <v>106</v>
      </c>
      <c r="J12" s="23" t="s">
        <v>107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1:12" ht="12.75">
      <c r="A14" s="54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193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150</v>
      </c>
      <c r="D17" s="46">
        <v>618966</v>
      </c>
      <c r="E17" s="46">
        <v>66394</v>
      </c>
      <c r="F17" s="46">
        <f>103768-24725</f>
        <v>79043</v>
      </c>
      <c r="G17" s="46">
        <v>1200</v>
      </c>
      <c r="H17" s="46">
        <v>10641</v>
      </c>
      <c r="I17" s="46">
        <v>-10132</v>
      </c>
      <c r="J17" s="46">
        <v>-38377</v>
      </c>
      <c r="K17" s="46">
        <f>SUM(D17:J17)</f>
        <v>727735</v>
      </c>
      <c r="L17" s="46">
        <v>18752</v>
      </c>
      <c r="M17" s="46">
        <f>L17+K17</f>
        <v>746487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s="90" t="s">
        <v>182</v>
      </c>
      <c r="D19" s="46">
        <v>0</v>
      </c>
      <c r="E19" s="46">
        <v>0</v>
      </c>
      <c r="F19" s="46">
        <f>-4676</f>
        <v>-4676</v>
      </c>
      <c r="G19" s="46">
        <v>0</v>
      </c>
      <c r="H19" s="46">
        <v>0</v>
      </c>
      <c r="I19" s="46">
        <v>0</v>
      </c>
      <c r="J19" s="46">
        <f>4676</f>
        <v>4676</v>
      </c>
      <c r="K19" s="46">
        <f>SUM(D19:J19)</f>
        <v>0</v>
      </c>
      <c r="L19" s="46">
        <v>0</v>
      </c>
      <c r="M19" s="46">
        <f>K19+L19</f>
        <v>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t="s">
        <v>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f>I38-I17</f>
        <v>-1157</v>
      </c>
      <c r="J21" s="46">
        <v>0</v>
      </c>
      <c r="K21" s="46">
        <f>SUM(D21:J21)</f>
        <v>-1157</v>
      </c>
      <c r="L21" s="46">
        <v>0</v>
      </c>
      <c r="M21" s="46">
        <f>K21+L21</f>
        <v>-1157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4:36" ht="12.7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2.75">
      <c r="A23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f>H38-H17</f>
        <v>910.710183540541</v>
      </c>
      <c r="I23" s="46">
        <v>0</v>
      </c>
      <c r="J23" s="46">
        <v>0</v>
      </c>
      <c r="K23" s="46">
        <f>SUM(D23:J23)</f>
        <v>910.710183540541</v>
      </c>
      <c r="L23" s="46">
        <f>-'[4]mi&amp;gw'!$D$9-'[4]mi&amp;gw'!$E$9-1</f>
        <v>29.224000927499986</v>
      </c>
      <c r="M23" s="46">
        <f>L23+K23</f>
        <v>939.934184468041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4:36" ht="12.75"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f>'[2]M-GER95A.XLS'!$U$104-1</f>
        <v>-2992</v>
      </c>
      <c r="K25" s="46">
        <f>SUM(D25:J25)</f>
        <v>-2992</v>
      </c>
      <c r="L25" s="46">
        <v>0</v>
      </c>
      <c r="M25" s="46">
        <f>L25+K25</f>
        <v>-2992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s="54" t="s">
        <v>214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1:36" ht="12.75">
      <c r="A28" s="54" t="s">
        <v>213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f>SUM(D28:J28)</f>
        <v>0</v>
      </c>
      <c r="L28" s="46">
        <v>-1470</v>
      </c>
      <c r="M28" s="46">
        <f>L28+K28</f>
        <v>-1470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4:36" ht="12.7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t="s">
        <v>216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54" t="s">
        <v>217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2.75">
      <c r="A32" s="54" t="s">
        <v>215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15">
        <v>0</v>
      </c>
      <c r="J32" s="46">
        <v>0</v>
      </c>
      <c r="K32" s="46">
        <f>SUM(D32:J32)</f>
        <v>0</v>
      </c>
      <c r="L32" s="46">
        <v>300</v>
      </c>
      <c r="M32" s="46">
        <f>L32+K32</f>
        <v>300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2.75">
      <c r="A33" s="54"/>
      <c r="D33" s="46"/>
      <c r="E33" s="46"/>
      <c r="F33" s="46"/>
      <c r="G33" s="46"/>
      <c r="H33" s="46"/>
      <c r="I33" s="1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ht="12.75">
      <c r="A34" s="90" t="s">
        <v>195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15">
        <v>0</v>
      </c>
      <c r="J34" s="46">
        <v>0</v>
      </c>
      <c r="K34" s="46">
        <f>SUM(D34:J34)</f>
        <v>0</v>
      </c>
      <c r="L34" s="46">
        <f>'[4]mi&amp;gw'!$F$25</f>
        <v>-2499</v>
      </c>
      <c r="M34" s="46">
        <f>K34+L34</f>
        <v>-2499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s="54" t="s">
        <v>152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f>'P&amp;L'!H51</f>
        <v>26142.101667547482</v>
      </c>
      <c r="K36" s="46">
        <f>J36</f>
        <v>26142.101667547482</v>
      </c>
      <c r="L36" s="46">
        <f>'P&amp;L'!H52</f>
        <v>2059.8659338871526</v>
      </c>
      <c r="M36" s="46">
        <f>L36+K36</f>
        <v>28201.967601434633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4:36" ht="12.75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3.5" thickBot="1">
      <c r="A38" s="54" t="s">
        <v>194</v>
      </c>
      <c r="D38" s="53">
        <f>SUM(D17:D37)</f>
        <v>618966</v>
      </c>
      <c r="E38" s="53">
        <f>SUM(E17:E37)</f>
        <v>66394</v>
      </c>
      <c r="F38" s="53">
        <f>'[2]M-GER95A.XLS'!$U$118</f>
        <v>74367</v>
      </c>
      <c r="G38" s="53">
        <f>SUM(G17:G37)</f>
        <v>1200</v>
      </c>
      <c r="H38" s="53">
        <f>'[2]M-GER95A.XLS'!$U$92-2</f>
        <v>11551.710183540541</v>
      </c>
      <c r="I38" s="53">
        <f>'[2]M-GER95A.XLS'!$U$91</f>
        <v>-11289</v>
      </c>
      <c r="J38" s="53">
        <f>SUM(J17:J37)</f>
        <v>-10550.898332452518</v>
      </c>
      <c r="K38" s="53">
        <f>SUM(K17:K37)</f>
        <v>750638.8118510881</v>
      </c>
      <c r="L38" s="53">
        <f>'BS'!G52</f>
        <v>17172.373369785622</v>
      </c>
      <c r="M38" s="53">
        <f>L38+K38</f>
        <v>767811.1852208737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4:36" ht="12.75">
      <c r="D39" s="46"/>
      <c r="E39" s="46"/>
      <c r="F39" s="46"/>
      <c r="G39" s="46"/>
      <c r="H39" s="46"/>
      <c r="I39" s="46"/>
      <c r="J39" s="46"/>
      <c r="K39" s="1"/>
      <c r="L39" s="1"/>
      <c r="M39" s="46">
        <f>M38-'BS'!G53</f>
        <v>-0.26956387038808316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4:36" ht="12.75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ht="12.75">
      <c r="A41" s="14" t="s">
        <v>196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s="1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54" t="s">
        <v>138</v>
      </c>
      <c r="D43" s="46">
        <v>618966</v>
      </c>
      <c r="E43" s="46">
        <v>66394</v>
      </c>
      <c r="F43" s="46">
        <v>103768</v>
      </c>
      <c r="G43" s="46">
        <v>1200</v>
      </c>
      <c r="H43" s="46">
        <v>8860</v>
      </c>
      <c r="I43" s="46">
        <v>-8939</v>
      </c>
      <c r="J43" s="46">
        <v>-46630</v>
      </c>
      <c r="K43" s="46">
        <f>SUM(D43:J43)</f>
        <v>743619</v>
      </c>
      <c r="L43" s="46">
        <v>13389</v>
      </c>
      <c r="M43" s="46">
        <f>L43+K43</f>
        <v>757008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4:36" ht="12.75"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t="s">
        <v>40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-150</v>
      </c>
      <c r="J45" s="46">
        <v>0</v>
      </c>
      <c r="K45" s="46">
        <f>SUM(D45:J45)</f>
        <v>-150</v>
      </c>
      <c r="L45" s="46">
        <v>0</v>
      </c>
      <c r="M45" s="46">
        <f>L45+K45</f>
        <v>-150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4:36" ht="12.7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t="s">
        <v>38</v>
      </c>
      <c r="D47" s="46">
        <v>0</v>
      </c>
      <c r="E47" s="46">
        <v>0</v>
      </c>
      <c r="F47" s="46">
        <v>0</v>
      </c>
      <c r="G47" s="46">
        <v>0</v>
      </c>
      <c r="H47" s="46">
        <v>266</v>
      </c>
      <c r="I47" s="46">
        <v>0</v>
      </c>
      <c r="J47" s="46">
        <v>0</v>
      </c>
      <c r="K47" s="46">
        <f>SUM(D47:J47)</f>
        <v>266</v>
      </c>
      <c r="L47" s="46">
        <v>56</v>
      </c>
      <c r="M47" s="46">
        <f>L47+K47</f>
        <v>322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4:36" ht="12.7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2.75">
      <c r="A49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-4185</v>
      </c>
      <c r="K49" s="46">
        <f>SUM(D49:J49)</f>
        <v>-4185</v>
      </c>
      <c r="L49" s="46">
        <v>0</v>
      </c>
      <c r="M49" s="46">
        <f>L49+K49</f>
        <v>-4185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4:36" ht="12.7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ht="12.75">
      <c r="A51" s="54" t="s">
        <v>152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22297</v>
      </c>
      <c r="K51" s="46">
        <f>SUM(D51:J51)</f>
        <v>22297</v>
      </c>
      <c r="L51" s="46">
        <v>1666</v>
      </c>
      <c r="M51" s="46">
        <f>L51+K51</f>
        <v>23963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4:36" ht="12.7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3.5" thickBot="1">
      <c r="A53" s="54" t="s">
        <v>197</v>
      </c>
      <c r="D53" s="53">
        <f aca="true" t="shared" si="0" ref="D53:K53">SUM(D43:D52)</f>
        <v>618966</v>
      </c>
      <c r="E53" s="53">
        <f t="shared" si="0"/>
        <v>66394</v>
      </c>
      <c r="F53" s="53">
        <f t="shared" si="0"/>
        <v>103768</v>
      </c>
      <c r="G53" s="53">
        <f t="shared" si="0"/>
        <v>1200</v>
      </c>
      <c r="H53" s="53">
        <f>SUM(H43:H52)</f>
        <v>9126</v>
      </c>
      <c r="I53" s="53">
        <f t="shared" si="0"/>
        <v>-9089</v>
      </c>
      <c r="J53" s="53">
        <f t="shared" si="0"/>
        <v>-28518</v>
      </c>
      <c r="K53" s="53">
        <f t="shared" si="0"/>
        <v>761847</v>
      </c>
      <c r="L53" s="53">
        <f>SUM(L43:L52)</f>
        <v>15111</v>
      </c>
      <c r="M53" s="53">
        <f>L53+K53</f>
        <v>776958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4:36" ht="12.75">
      <c r="D54" s="46"/>
      <c r="E54" s="46"/>
      <c r="F54" s="46"/>
      <c r="G54" s="46"/>
      <c r="H54" s="46"/>
      <c r="I54" s="46"/>
      <c r="J54" s="46"/>
      <c r="M54" s="46">
        <f>SUM(M43:M52)-M53</f>
        <v>0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4:36" ht="12.7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ht="12.75">
      <c r="A57" s="122" t="s">
        <v>162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2.75">
      <c r="A58" s="122" t="s">
        <v>160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15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4:36" ht="12.75"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4:36" ht="12.75"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4:36" ht="12.75"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</sheetData>
  <mergeCells count="5">
    <mergeCell ref="A58:M58"/>
    <mergeCell ref="A57:M57"/>
    <mergeCell ref="A1:M1"/>
    <mergeCell ref="A2:M2"/>
    <mergeCell ref="A3:M3"/>
  </mergeCells>
  <printOptions/>
  <pageMargins left="0.76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5"/>
  <sheetViews>
    <sheetView zoomScale="75" zoomScaleNormal="75" workbookViewId="0" topLeftCell="A70">
      <selection activeCell="H90" sqref="H90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2.75">
      <c r="A4" s="129" t="s">
        <v>24</v>
      </c>
      <c r="B4" s="129"/>
      <c r="C4" s="129"/>
      <c r="D4" s="129"/>
      <c r="E4" s="129"/>
      <c r="F4" s="129"/>
      <c r="G4" s="129"/>
      <c r="H4" s="129"/>
      <c r="I4" s="129"/>
      <c r="J4" s="129"/>
    </row>
    <row r="6" spans="1:10" ht="12.75">
      <c r="A6" s="114" t="s">
        <v>211</v>
      </c>
      <c r="J6" s="116"/>
    </row>
    <row r="7" spans="1:10" ht="12.75">
      <c r="A7" s="36"/>
      <c r="J7" s="116"/>
    </row>
    <row r="8" ht="12.75">
      <c r="A8" s="37"/>
    </row>
    <row r="9" ht="12.75">
      <c r="A9" s="81" t="s">
        <v>67</v>
      </c>
    </row>
    <row r="10" ht="12.75">
      <c r="A10" s="37" t="s">
        <v>25</v>
      </c>
    </row>
    <row r="11" ht="12.75">
      <c r="A11" s="37" t="s">
        <v>26</v>
      </c>
    </row>
    <row r="12" ht="12.75">
      <c r="A12" s="37" t="s">
        <v>27</v>
      </c>
    </row>
    <row r="13" ht="12.75">
      <c r="A13" s="34"/>
    </row>
    <row r="15" spans="1:10" ht="13.5" thickBot="1">
      <c r="A15" s="58" t="s">
        <v>185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28</v>
      </c>
      <c r="B17" s="4"/>
      <c r="C17" s="4"/>
      <c r="D17" s="4"/>
      <c r="E17" s="4"/>
      <c r="F17" s="4"/>
      <c r="G17" s="4"/>
      <c r="H17" s="4"/>
      <c r="I17" s="4"/>
    </row>
    <row r="18" spans="1:10" ht="12.75">
      <c r="A18" s="29"/>
      <c r="B18" s="4"/>
      <c r="C18" s="4"/>
      <c r="D18" s="4"/>
      <c r="E18" s="4"/>
      <c r="F18" s="23"/>
      <c r="G18" s="23"/>
      <c r="H18" s="23"/>
      <c r="I18" s="23"/>
      <c r="J18" s="86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33" t="s">
        <v>56</v>
      </c>
      <c r="E20" s="134"/>
      <c r="F20" s="135"/>
      <c r="G20" s="18"/>
      <c r="H20" s="130" t="s">
        <v>11</v>
      </c>
      <c r="I20" s="131"/>
      <c r="J20" s="132"/>
    </row>
    <row r="21" spans="1:15" ht="12.75">
      <c r="A21" s="4"/>
      <c r="B21" s="4"/>
      <c r="C21" s="4"/>
      <c r="D21" s="16" t="s">
        <v>163</v>
      </c>
      <c r="E21" s="17"/>
      <c r="F21" s="63" t="s">
        <v>164</v>
      </c>
      <c r="G21" s="23"/>
      <c r="H21" s="16" t="s">
        <v>163</v>
      </c>
      <c r="I21" s="17"/>
      <c r="J21" s="63" t="s">
        <v>164</v>
      </c>
      <c r="L21" s="73"/>
      <c r="M21" s="73"/>
      <c r="N21" s="73"/>
      <c r="O21" s="119"/>
    </row>
    <row r="22" spans="1:10" ht="12.75">
      <c r="A22" s="4"/>
      <c r="B22" s="4"/>
      <c r="C22" s="4"/>
      <c r="D22" s="69" t="s">
        <v>155</v>
      </c>
      <c r="E22" s="17"/>
      <c r="F22" s="63" t="s">
        <v>22</v>
      </c>
      <c r="G22" s="23"/>
      <c r="H22" s="69" t="s">
        <v>158</v>
      </c>
      <c r="I22" s="17"/>
      <c r="J22" s="82" t="s">
        <v>68</v>
      </c>
    </row>
    <row r="23" spans="1:10" ht="12.75">
      <c r="A23" s="4"/>
      <c r="B23" s="4"/>
      <c r="C23" s="4"/>
      <c r="D23" s="69" t="s">
        <v>20</v>
      </c>
      <c r="E23" s="17"/>
      <c r="F23" s="82" t="s">
        <v>157</v>
      </c>
      <c r="G23" s="23"/>
      <c r="H23" s="16" t="s">
        <v>19</v>
      </c>
      <c r="I23" s="17"/>
      <c r="J23" s="82" t="s">
        <v>159</v>
      </c>
    </row>
    <row r="24" spans="1:10" ht="12.75">
      <c r="A24" s="4"/>
      <c r="B24" s="4"/>
      <c r="C24" s="4"/>
      <c r="D24" s="62">
        <v>39813</v>
      </c>
      <c r="E24" s="20"/>
      <c r="F24" s="83">
        <v>39447</v>
      </c>
      <c r="G24" s="24"/>
      <c r="H24" s="62">
        <v>39813</v>
      </c>
      <c r="I24" s="68"/>
      <c r="J24" s="64">
        <v>39447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2">
        <f>H27-59659</f>
        <v>45649.27683821865</v>
      </c>
      <c r="E27" s="47"/>
      <c r="F27" s="89">
        <v>50181</v>
      </c>
      <c r="G27" s="46"/>
      <c r="H27" s="92">
        <f>'[2]M-GER95A.XLS'!$U$130</f>
        <v>105308.27683821865</v>
      </c>
      <c r="I27" s="47"/>
      <c r="J27" s="85">
        <f>58188+50181</f>
        <v>108369</v>
      </c>
      <c r="K27" s="49"/>
      <c r="P27" s="49"/>
      <c r="Q27" s="49"/>
      <c r="R27" s="49"/>
    </row>
    <row r="28" spans="1:18" ht="12.75">
      <c r="A28" s="45"/>
      <c r="B28" s="46"/>
      <c r="C28" s="46"/>
      <c r="D28" s="92"/>
      <c r="E28" s="47"/>
      <c r="F28" s="89"/>
      <c r="G28" s="46"/>
      <c r="H28" s="92"/>
      <c r="I28" s="47"/>
      <c r="J28" s="48"/>
      <c r="K28" s="49"/>
      <c r="P28" s="49"/>
      <c r="Q28" s="49"/>
      <c r="R28" s="49"/>
    </row>
    <row r="29" spans="1:18" ht="12.75">
      <c r="A29" s="45" t="s">
        <v>91</v>
      </c>
      <c r="B29" s="46"/>
      <c r="C29" s="46"/>
      <c r="D29" s="92">
        <f>H29+44025</f>
        <v>-35532.71812208301</v>
      </c>
      <c r="E29" s="47"/>
      <c r="F29" s="89">
        <v>-36665</v>
      </c>
      <c r="G29" s="46"/>
      <c r="H29" s="92">
        <f>-'[2]M-GER95A.XLS'!$P$674-'[2]M-GER95A.XLS'!$P$685-'[2]M-GER95A.XLS'!$P$686</f>
        <v>-79557.71812208301</v>
      </c>
      <c r="I29" s="47"/>
      <c r="J29" s="48">
        <f>-37321-36665</f>
        <v>-73986</v>
      </c>
      <c r="K29" s="49"/>
      <c r="P29" s="49"/>
      <c r="Q29" s="49"/>
      <c r="R29" s="49"/>
    </row>
    <row r="30" spans="1:18" ht="12.75">
      <c r="A30" s="45"/>
      <c r="B30" s="46"/>
      <c r="C30" s="46"/>
      <c r="D30" s="92"/>
      <c r="E30" s="47"/>
      <c r="F30" s="89"/>
      <c r="G30" s="46"/>
      <c r="H30" s="92"/>
      <c r="I30" s="47"/>
      <c r="J30" s="48"/>
      <c r="K30" s="49"/>
      <c r="P30" s="49"/>
      <c r="Q30" s="49"/>
      <c r="R30" s="49"/>
    </row>
    <row r="31" spans="1:18" ht="12.75">
      <c r="A31" s="45" t="s">
        <v>92</v>
      </c>
      <c r="B31" s="46"/>
      <c r="C31" s="46"/>
      <c r="D31" s="92">
        <f>H31+1772</f>
        <v>-1890.9810528899998</v>
      </c>
      <c r="E31" s="47"/>
      <c r="F31" s="48">
        <v>-3575</v>
      </c>
      <c r="G31" s="46"/>
      <c r="H31" s="92">
        <f>-'[2]M-GER95A.XLS'!$P$688</f>
        <v>-3662.98105289</v>
      </c>
      <c r="I31" s="47"/>
      <c r="J31" s="48">
        <f>-3609-3575</f>
        <v>-7184</v>
      </c>
      <c r="K31" s="49"/>
      <c r="P31" s="49"/>
      <c r="Q31" s="49"/>
      <c r="R31" s="49"/>
    </row>
    <row r="32" spans="1:18" ht="12.75">
      <c r="A32" s="45"/>
      <c r="B32" s="46"/>
      <c r="C32" s="46"/>
      <c r="D32" s="92"/>
      <c r="E32" s="47"/>
      <c r="F32" s="48"/>
      <c r="G32" s="46"/>
      <c r="H32" s="92"/>
      <c r="I32" s="47"/>
      <c r="J32" s="48"/>
      <c r="K32" s="49"/>
      <c r="P32" s="49"/>
      <c r="Q32" s="49"/>
      <c r="R32" s="49"/>
    </row>
    <row r="33" spans="1:18" ht="12.75">
      <c r="A33" s="56" t="s">
        <v>93</v>
      </c>
      <c r="B33" s="46"/>
      <c r="C33" s="46"/>
      <c r="D33" s="92">
        <f>H33+19693</f>
        <v>-38659.391435667</v>
      </c>
      <c r="E33" s="47"/>
      <c r="F33" s="48">
        <v>-6110</v>
      </c>
      <c r="G33" s="46"/>
      <c r="H33" s="92">
        <f>-'[2]M-GER95A.XLS'!$P$692</f>
        <v>-58352.391435667</v>
      </c>
      <c r="I33" s="47"/>
      <c r="J33" s="48">
        <f>-12919-6110</f>
        <v>-19029</v>
      </c>
      <c r="K33" s="49"/>
      <c r="P33" s="49"/>
      <c r="Q33" s="49"/>
      <c r="R33" s="49"/>
    </row>
    <row r="34" spans="1:18" ht="12.75">
      <c r="A34" s="56"/>
      <c r="B34" s="46"/>
      <c r="C34" s="46"/>
      <c r="D34" s="92"/>
      <c r="E34" s="47"/>
      <c r="F34" s="48"/>
      <c r="G34" s="46"/>
      <c r="H34" s="92"/>
      <c r="I34" s="47"/>
      <c r="J34" s="48"/>
      <c r="K34" s="49"/>
      <c r="P34" s="49"/>
      <c r="Q34" s="49"/>
      <c r="R34" s="49"/>
    </row>
    <row r="35" spans="1:18" ht="12.75">
      <c r="A35" s="45" t="s">
        <v>134</v>
      </c>
      <c r="D35" s="92">
        <f>H35-7188</f>
        <v>4256.035071934002</v>
      </c>
      <c r="E35" s="47"/>
      <c r="F35" s="48">
        <v>9897</v>
      </c>
      <c r="G35" s="46"/>
      <c r="H35" s="92">
        <f>'[2]M-GER95A.XLS'!$N$651</f>
        <v>11444.035071934002</v>
      </c>
      <c r="I35" s="47"/>
      <c r="J35" s="48">
        <f>4894+9897</f>
        <v>14791</v>
      </c>
      <c r="K35" s="49"/>
      <c r="P35" s="49"/>
      <c r="Q35" s="49"/>
      <c r="R35" s="49"/>
    </row>
    <row r="36" spans="1:18" ht="12.75">
      <c r="A36" s="45"/>
      <c r="B36" s="46"/>
      <c r="C36" s="46"/>
      <c r="D36" s="92"/>
      <c r="E36" s="47"/>
      <c r="F36" s="48"/>
      <c r="G36" s="46"/>
      <c r="H36" s="92"/>
      <c r="I36" s="47"/>
      <c r="J36" s="48"/>
      <c r="K36" s="49"/>
      <c r="P36" s="49"/>
      <c r="Q36" s="49"/>
      <c r="R36" s="49"/>
    </row>
    <row r="37" spans="1:18" ht="12.75">
      <c r="A37" s="45" t="s">
        <v>43</v>
      </c>
      <c r="B37" s="80" t="s">
        <v>58</v>
      </c>
      <c r="C37" s="71"/>
      <c r="D37" s="92">
        <f>H37+616</f>
        <v>-633.3931144990011</v>
      </c>
      <c r="E37" s="47"/>
      <c r="F37" s="48">
        <v>-518</v>
      </c>
      <c r="G37" s="46"/>
      <c r="H37" s="92">
        <f>-'[2]M-GER95A.XLS'!$P$698</f>
        <v>-1249.393114499001</v>
      </c>
      <c r="I37" s="47"/>
      <c r="J37" s="48">
        <f>-626-518</f>
        <v>-1144</v>
      </c>
      <c r="K37" s="49"/>
      <c r="P37" s="49"/>
      <c r="Q37" s="49"/>
      <c r="R37" s="49"/>
    </row>
    <row r="38" spans="1:18" ht="12.75">
      <c r="A38" s="45"/>
      <c r="B38" s="80"/>
      <c r="C38" s="71"/>
      <c r="D38" s="92"/>
      <c r="E38" s="47"/>
      <c r="F38" s="48"/>
      <c r="G38" s="46"/>
      <c r="H38" s="92"/>
      <c r="I38" s="47"/>
      <c r="J38" s="48"/>
      <c r="K38" s="49"/>
      <c r="P38" s="49"/>
      <c r="Q38" s="49"/>
      <c r="R38" s="49"/>
    </row>
    <row r="39" spans="1:18" ht="12.75">
      <c r="A39" s="56" t="s">
        <v>111</v>
      </c>
      <c r="B39" s="80" t="s">
        <v>70</v>
      </c>
      <c r="C39" s="71"/>
      <c r="D39" s="92">
        <f>H39-213</f>
        <v>54581.5433</v>
      </c>
      <c r="E39" s="47"/>
      <c r="F39" s="48">
        <v>197</v>
      </c>
      <c r="G39" s="46"/>
      <c r="H39" s="92">
        <f>'[2]M-GER95A.XLS'!$U$234</f>
        <v>54794.5433</v>
      </c>
      <c r="I39" s="47"/>
      <c r="J39" s="85">
        <f>-830+197</f>
        <v>-633</v>
      </c>
      <c r="K39" s="49"/>
      <c r="P39" s="49"/>
      <c r="Q39" s="49"/>
      <c r="R39" s="49"/>
    </row>
    <row r="40" spans="1:18" ht="12.75">
      <c r="A40" s="45"/>
      <c r="B40" s="46"/>
      <c r="C40" s="46"/>
      <c r="D40" s="92"/>
      <c r="E40" s="47"/>
      <c r="F40" s="48"/>
      <c r="G40" s="46"/>
      <c r="H40" s="92"/>
      <c r="I40" s="47"/>
      <c r="J40" s="48"/>
      <c r="K40" s="49"/>
      <c r="P40" s="49"/>
      <c r="Q40" s="49"/>
      <c r="R40" s="49"/>
    </row>
    <row r="41" spans="1:18" ht="12.75">
      <c r="A41" s="56" t="s">
        <v>126</v>
      </c>
      <c r="B41" s="46"/>
      <c r="C41" s="46"/>
      <c r="D41" s="92"/>
      <c r="E41" s="47"/>
      <c r="F41" s="48"/>
      <c r="G41" s="46"/>
      <c r="H41" s="92"/>
      <c r="I41" s="47"/>
      <c r="J41" s="48"/>
      <c r="K41" s="49"/>
      <c r="P41" s="49"/>
      <c r="Q41" s="49"/>
      <c r="R41" s="49"/>
    </row>
    <row r="42" spans="1:18" ht="12.75">
      <c r="A42" s="56" t="s">
        <v>127</v>
      </c>
      <c r="B42" s="46"/>
      <c r="C42" s="46"/>
      <c r="D42" s="93">
        <f>H42-659</f>
        <v>-148.2288501679999</v>
      </c>
      <c r="E42" s="47"/>
      <c r="F42" s="51">
        <v>1873</v>
      </c>
      <c r="G42" s="46"/>
      <c r="H42" s="93">
        <f>'[2]M-GER95A.XLS'!$U$235</f>
        <v>510.7711498320001</v>
      </c>
      <c r="I42" s="47"/>
      <c r="J42" s="51">
        <f>1691+1873</f>
        <v>3564</v>
      </c>
      <c r="K42" s="49"/>
      <c r="P42" s="49"/>
      <c r="Q42" s="49"/>
      <c r="R42" s="49"/>
    </row>
    <row r="43" spans="1:18" ht="12.75">
      <c r="A43" s="45"/>
      <c r="B43" s="46"/>
      <c r="C43" s="46"/>
      <c r="D43" s="92"/>
      <c r="E43" s="47"/>
      <c r="F43" s="48"/>
      <c r="G43" s="46"/>
      <c r="H43" s="92"/>
      <c r="I43" s="47"/>
      <c r="J43" s="48"/>
      <c r="K43" s="49"/>
      <c r="P43" s="49"/>
      <c r="Q43" s="49"/>
      <c r="R43" s="49"/>
    </row>
    <row r="44" spans="1:18" ht="12.75">
      <c r="A44" s="56" t="s">
        <v>69</v>
      </c>
      <c r="B44" s="80" t="s">
        <v>87</v>
      </c>
      <c r="C44" s="46"/>
      <c r="D44" s="92">
        <f>SUM(D27:D42)+1</f>
        <v>27623.142634845637</v>
      </c>
      <c r="E44" s="47"/>
      <c r="F44" s="48">
        <f>SUM(F27:F42)</f>
        <v>15280</v>
      </c>
      <c r="G44" s="46"/>
      <c r="H44" s="92">
        <f>SUM(H27:H42)+1</f>
        <v>29236.142634845637</v>
      </c>
      <c r="I44" s="47"/>
      <c r="J44" s="48">
        <f>SUM(J27:J42)</f>
        <v>24748</v>
      </c>
      <c r="K44" s="49"/>
      <c r="P44" s="49"/>
      <c r="Q44" s="49"/>
      <c r="R44" s="49"/>
    </row>
    <row r="45" spans="1:18" ht="12.75">
      <c r="A45" s="45"/>
      <c r="B45" s="46"/>
      <c r="C45" s="46"/>
      <c r="D45" s="92"/>
      <c r="E45" s="47"/>
      <c r="F45" s="48"/>
      <c r="G45" s="46"/>
      <c r="H45" s="92"/>
      <c r="I45" s="47"/>
      <c r="J45" s="48"/>
      <c r="K45" s="49"/>
      <c r="P45" s="49"/>
      <c r="Q45" s="49"/>
      <c r="R45" s="49"/>
    </row>
    <row r="46" spans="1:18" ht="12.75">
      <c r="A46" s="45" t="s">
        <v>7</v>
      </c>
      <c r="B46" s="46"/>
      <c r="C46" s="46"/>
      <c r="D46" s="93">
        <f>H46+888</f>
        <v>-146.24515876700002</v>
      </c>
      <c r="E46" s="47"/>
      <c r="F46" s="51">
        <v>-496</v>
      </c>
      <c r="G46" s="46"/>
      <c r="H46" s="93">
        <f>'[2]M-GER95A.XLS'!$U$237</f>
        <v>-1034.245158767</v>
      </c>
      <c r="I46" s="47"/>
      <c r="J46" s="51">
        <f>-289-496</f>
        <v>-785</v>
      </c>
      <c r="K46" s="49"/>
      <c r="P46" s="49"/>
      <c r="Q46" s="49"/>
      <c r="R46" s="49"/>
    </row>
    <row r="47" spans="1:18" ht="12.75">
      <c r="A47" s="45"/>
      <c r="B47" s="46"/>
      <c r="C47" s="46"/>
      <c r="D47" s="92"/>
      <c r="E47" s="47"/>
      <c r="F47" s="48"/>
      <c r="G47" s="46"/>
      <c r="H47" s="92"/>
      <c r="I47" s="47"/>
      <c r="J47" s="48"/>
      <c r="K47" s="49"/>
      <c r="P47" s="49"/>
      <c r="Q47" s="49"/>
      <c r="R47" s="49"/>
    </row>
    <row r="48" spans="1:18" ht="13.5" thickBot="1">
      <c r="A48" s="56" t="s">
        <v>184</v>
      </c>
      <c r="B48" s="46"/>
      <c r="C48" s="46"/>
      <c r="D48" s="108">
        <f>SUM(D44:D46)</f>
        <v>27476.897476078637</v>
      </c>
      <c r="E48" s="47"/>
      <c r="F48" s="109">
        <f>SUM(F44:F46)</f>
        <v>14784</v>
      </c>
      <c r="G48" s="46"/>
      <c r="H48" s="108">
        <f>SUM(H44:H46)</f>
        <v>28201.897476078637</v>
      </c>
      <c r="I48" s="47"/>
      <c r="J48" s="109">
        <f>SUM(J44:J46)</f>
        <v>23963</v>
      </c>
      <c r="K48" s="49"/>
      <c r="P48" s="49"/>
      <c r="Q48" s="49"/>
      <c r="R48" s="49"/>
    </row>
    <row r="49" spans="1:18" ht="12.75">
      <c r="A49" s="45"/>
      <c r="B49" s="46"/>
      <c r="C49" s="46"/>
      <c r="D49" s="92"/>
      <c r="E49" s="47"/>
      <c r="F49" s="48"/>
      <c r="G49" s="46"/>
      <c r="H49" s="92"/>
      <c r="I49" s="47"/>
      <c r="J49" s="48"/>
      <c r="K49" s="49"/>
      <c r="P49" s="49"/>
      <c r="Q49" s="49"/>
      <c r="R49" s="49"/>
    </row>
    <row r="50" spans="1:18" ht="12.75">
      <c r="A50" s="56" t="s">
        <v>86</v>
      </c>
      <c r="B50" s="46"/>
      <c r="C50" s="46"/>
      <c r="D50" s="92"/>
      <c r="E50" s="47"/>
      <c r="F50" s="48"/>
      <c r="G50" s="46"/>
      <c r="H50" s="92"/>
      <c r="I50" s="47"/>
      <c r="J50" s="48"/>
      <c r="K50" s="49"/>
      <c r="P50" s="49"/>
      <c r="Q50" s="49"/>
      <c r="R50" s="49"/>
    </row>
    <row r="51" spans="1:18" ht="12.75">
      <c r="A51" s="56" t="s">
        <v>136</v>
      </c>
      <c r="B51" s="46"/>
      <c r="C51" s="46"/>
      <c r="D51" s="92">
        <f>H51+825</f>
        <v>26967.101667547482</v>
      </c>
      <c r="E51" s="47"/>
      <c r="F51" s="48">
        <v>13676</v>
      </c>
      <c r="G51" s="46"/>
      <c r="H51" s="92">
        <f>'[2]M-GER95A.XLS'!$U$243+'[2]M-GER95A.XLS'!$U$245-1</f>
        <v>26142.101667547482</v>
      </c>
      <c r="I51" s="47"/>
      <c r="J51" s="48">
        <f>8621+13676</f>
        <v>22297</v>
      </c>
      <c r="K51" s="49"/>
      <c r="P51" s="49"/>
      <c r="Q51" s="49"/>
      <c r="R51" s="49"/>
    </row>
    <row r="52" spans="1:18" ht="12.75">
      <c r="A52" s="45" t="s">
        <v>94</v>
      </c>
      <c r="B52" s="46"/>
      <c r="C52" s="46"/>
      <c r="D52" s="92">
        <f>H52-1550</f>
        <v>509.86593388715255</v>
      </c>
      <c r="E52" s="47"/>
      <c r="F52" s="48">
        <v>1108</v>
      </c>
      <c r="G52" s="46"/>
      <c r="H52" s="92">
        <f>-'[2]M-GER95A.XLS'!$U$245+'[2]M-GER95A.XLS'!$U$247+1</f>
        <v>2059.8659338871526</v>
      </c>
      <c r="I52" s="47"/>
      <c r="J52" s="48">
        <f>558+1108</f>
        <v>1666</v>
      </c>
      <c r="K52" s="49"/>
      <c r="P52" s="49"/>
      <c r="Q52" s="49"/>
      <c r="R52" s="49"/>
    </row>
    <row r="53" spans="1:18" ht="12.75">
      <c r="A53" s="45"/>
      <c r="B53" s="46"/>
      <c r="C53" s="46"/>
      <c r="D53" s="92"/>
      <c r="E53" s="47"/>
      <c r="F53" s="48"/>
      <c r="G53" s="46"/>
      <c r="H53" s="92"/>
      <c r="I53" s="47"/>
      <c r="J53" s="48"/>
      <c r="K53" s="49"/>
      <c r="P53" s="49"/>
      <c r="Q53" s="49"/>
      <c r="R53" s="49"/>
    </row>
    <row r="54" spans="1:18" ht="13.5" thickBot="1">
      <c r="A54" s="56"/>
      <c r="B54" s="46"/>
      <c r="C54" s="46"/>
      <c r="D54" s="94">
        <f>D52+D51</f>
        <v>27476.967601434633</v>
      </c>
      <c r="E54" s="47"/>
      <c r="F54" s="66">
        <f>SUM(F51:F53)</f>
        <v>14784</v>
      </c>
      <c r="G54" s="46"/>
      <c r="H54" s="94">
        <f>H52+H51</f>
        <v>28201.967601434633</v>
      </c>
      <c r="I54" s="47"/>
      <c r="J54" s="66">
        <f>J52+J51</f>
        <v>23963</v>
      </c>
      <c r="K54" s="49"/>
      <c r="P54" s="49"/>
      <c r="Q54" s="49"/>
      <c r="R54" s="49"/>
    </row>
    <row r="55" spans="1:18" ht="12.75">
      <c r="A55" s="45"/>
      <c r="B55" s="46"/>
      <c r="C55" s="46"/>
      <c r="D55" s="92"/>
      <c r="E55" s="47"/>
      <c r="F55" s="48"/>
      <c r="G55" s="46"/>
      <c r="H55" s="92"/>
      <c r="I55" s="47"/>
      <c r="J55" s="48"/>
      <c r="P55" s="49"/>
      <c r="Q55" s="49"/>
      <c r="R55" s="49"/>
    </row>
    <row r="56" spans="1:18" ht="12.75">
      <c r="A56" s="56" t="s">
        <v>210</v>
      </c>
      <c r="B56" s="46"/>
      <c r="C56" s="46"/>
      <c r="D56" s="92"/>
      <c r="E56" s="47"/>
      <c r="F56" s="48"/>
      <c r="G56" s="46"/>
      <c r="H56" s="92"/>
      <c r="I56" s="47"/>
      <c r="J56" s="67"/>
      <c r="K56" s="49"/>
      <c r="P56" s="49"/>
      <c r="Q56" s="49"/>
      <c r="R56" s="49"/>
    </row>
    <row r="57" spans="1:18" ht="12.75">
      <c r="A57" s="50" t="s">
        <v>29</v>
      </c>
      <c r="B57" s="46"/>
      <c r="C57" s="46"/>
      <c r="D57" s="97">
        <f>H57+0.14</f>
        <v>4.538625395044223</v>
      </c>
      <c r="E57" s="47"/>
      <c r="F57" s="87">
        <v>2.29</v>
      </c>
      <c r="G57" s="46"/>
      <c r="H57" s="95">
        <f>'[3]June08'!$C$46</f>
        <v>4.398625395044223</v>
      </c>
      <c r="I57" s="47"/>
      <c r="J57" s="112">
        <f>1.44+2.29</f>
        <v>3.73</v>
      </c>
      <c r="K57" s="49"/>
      <c r="P57" s="49"/>
      <c r="Q57" s="49"/>
      <c r="R57" s="49"/>
    </row>
    <row r="58" spans="1:18" ht="12.75">
      <c r="A58" s="50" t="s">
        <v>30</v>
      </c>
      <c r="B58" s="46"/>
      <c r="C58" s="46"/>
      <c r="D58" s="97">
        <f>H58+0.12</f>
        <v>4.029454751305142</v>
      </c>
      <c r="E58" s="47"/>
      <c r="F58" s="87">
        <v>1.95</v>
      </c>
      <c r="G58" s="46"/>
      <c r="H58" s="95">
        <f>'[3]June08'!$C$58</f>
        <v>3.9094547513051423</v>
      </c>
      <c r="I58" s="47"/>
      <c r="J58" s="67">
        <f>1.23+1.95</f>
        <v>3.1799999999999997</v>
      </c>
      <c r="K58" s="49"/>
      <c r="P58" s="49"/>
      <c r="Q58" s="49"/>
      <c r="R58" s="49"/>
    </row>
    <row r="59" spans="1:18" ht="12.75">
      <c r="A59" s="45"/>
      <c r="B59" s="46"/>
      <c r="C59" s="46"/>
      <c r="D59" s="93"/>
      <c r="E59" s="52"/>
      <c r="F59" s="51"/>
      <c r="G59" s="46"/>
      <c r="H59" s="93"/>
      <c r="I59" s="52"/>
      <c r="J59" s="51"/>
      <c r="K59" s="49"/>
      <c r="P59" s="49"/>
      <c r="Q59" s="49"/>
      <c r="R59" s="49"/>
    </row>
    <row r="60" spans="1:18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9"/>
      <c r="P60" s="49"/>
      <c r="Q60" s="49"/>
      <c r="R60" s="49"/>
    </row>
    <row r="61" spans="1:18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1"/>
      <c r="M62" s="111"/>
      <c r="O62" s="49"/>
      <c r="P62" s="49"/>
      <c r="Q62" s="49"/>
      <c r="R62" s="49"/>
    </row>
    <row r="63" spans="1:18" ht="12.75">
      <c r="A63" s="56" t="s">
        <v>62</v>
      </c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1"/>
      <c r="M63" s="111"/>
      <c r="O63" s="49"/>
      <c r="P63" s="49"/>
      <c r="Q63" s="49"/>
      <c r="R63" s="49"/>
    </row>
    <row r="64" spans="1:18" ht="12.75">
      <c r="A64" s="57" t="s">
        <v>186</v>
      </c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1"/>
      <c r="M64" s="111"/>
      <c r="O64" s="49"/>
      <c r="P64" s="49"/>
      <c r="Q64" s="49"/>
      <c r="R64" s="49"/>
    </row>
    <row r="65" spans="1:18" ht="12.75">
      <c r="A65" s="57" t="s">
        <v>187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1"/>
      <c r="M65" s="111"/>
      <c r="O65" s="49"/>
      <c r="P65" s="49"/>
      <c r="Q65" s="49"/>
      <c r="R65" s="49"/>
    </row>
    <row r="66" spans="1:18" ht="12.75">
      <c r="A66" s="57" t="s">
        <v>132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1"/>
      <c r="M66" s="111"/>
      <c r="O66" s="49"/>
      <c r="P66" s="49"/>
      <c r="Q66" s="49"/>
      <c r="R66" s="49"/>
    </row>
    <row r="67" spans="1:18" ht="12.75">
      <c r="A67" s="45"/>
      <c r="B67" s="46"/>
      <c r="C67" s="46"/>
      <c r="D67" s="46"/>
      <c r="E67" s="46"/>
      <c r="F67" s="23"/>
      <c r="G67" s="23"/>
      <c r="H67" s="23"/>
      <c r="I67" s="23"/>
      <c r="J67" s="86"/>
      <c r="K67" s="49"/>
      <c r="L67" s="111"/>
      <c r="M67" s="111"/>
      <c r="O67" s="49"/>
      <c r="P67" s="49"/>
      <c r="Q67" s="49"/>
      <c r="R67" s="49"/>
    </row>
    <row r="68" spans="1:18" ht="12.75">
      <c r="A68" s="56" t="s">
        <v>64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1"/>
      <c r="O68" s="49"/>
      <c r="P68" s="49"/>
      <c r="Q68" s="49"/>
      <c r="R68" s="49"/>
    </row>
    <row r="69" spans="1:18" ht="12.75">
      <c r="A69" s="57" t="s">
        <v>140</v>
      </c>
      <c r="B69" s="46"/>
      <c r="C69" s="46"/>
      <c r="D69" s="86" t="s">
        <v>74</v>
      </c>
      <c r="F69" s="86" t="s">
        <v>74</v>
      </c>
      <c r="G69" s="46"/>
      <c r="H69" s="77" t="s">
        <v>161</v>
      </c>
      <c r="I69" s="76"/>
      <c r="J69" s="77" t="s">
        <v>161</v>
      </c>
      <c r="K69" s="49"/>
      <c r="L69" s="111"/>
      <c r="O69" s="49"/>
      <c r="P69" s="49"/>
      <c r="Q69" s="49"/>
      <c r="R69" s="49"/>
    </row>
    <row r="70" spans="1:18" ht="12.75">
      <c r="A70" s="45"/>
      <c r="B70" s="46"/>
      <c r="C70" s="46"/>
      <c r="D70" s="78" t="s">
        <v>188</v>
      </c>
      <c r="E70" s="74"/>
      <c r="F70" s="79" t="s">
        <v>189</v>
      </c>
      <c r="G70" s="46"/>
      <c r="H70" s="78" t="str">
        <f>D70</f>
        <v>31/12/2008</v>
      </c>
      <c r="I70" s="74"/>
      <c r="J70" s="79" t="str">
        <f>F70</f>
        <v>31/12/2007</v>
      </c>
      <c r="K70" s="49"/>
      <c r="L70" s="111"/>
      <c r="O70" s="49"/>
      <c r="P70" s="49"/>
      <c r="Q70" s="49"/>
      <c r="R70" s="49"/>
    </row>
    <row r="71" spans="1:18" ht="12.75">
      <c r="A71" s="45"/>
      <c r="B71" s="46"/>
      <c r="C71" s="46"/>
      <c r="D71" s="61" t="s">
        <v>8</v>
      </c>
      <c r="E71" s="46"/>
      <c r="F71" s="61" t="s">
        <v>8</v>
      </c>
      <c r="G71" s="46"/>
      <c r="H71" s="61" t="s">
        <v>8</v>
      </c>
      <c r="I71" s="46"/>
      <c r="J71" s="61" t="s">
        <v>8</v>
      </c>
      <c r="K71" s="49"/>
      <c r="L71" s="111"/>
      <c r="O71" s="49"/>
      <c r="P71" s="49"/>
      <c r="Q71" s="49"/>
      <c r="R71" s="49"/>
    </row>
    <row r="72" spans="1:18" ht="12.75">
      <c r="A72" s="45"/>
      <c r="B72" s="46"/>
      <c r="C72" s="46"/>
      <c r="D72" s="61"/>
      <c r="E72" s="46"/>
      <c r="F72" s="61"/>
      <c r="G72" s="46"/>
      <c r="H72" s="61"/>
      <c r="I72" s="46"/>
      <c r="J72" s="61"/>
      <c r="K72" s="49"/>
      <c r="L72" s="111"/>
      <c r="O72" s="49"/>
      <c r="P72" s="49"/>
      <c r="Q72" s="49"/>
      <c r="R72" s="49"/>
    </row>
    <row r="73" spans="1:18" ht="12.75">
      <c r="A73" s="57" t="s">
        <v>143</v>
      </c>
      <c r="B73" s="46"/>
      <c r="C73" s="46"/>
      <c r="D73" s="49">
        <v>0</v>
      </c>
      <c r="F73" s="49">
        <v>0</v>
      </c>
      <c r="G73" s="46"/>
      <c r="H73" s="49">
        <v>363</v>
      </c>
      <c r="I73" s="46"/>
      <c r="J73" s="61">
        <v>0</v>
      </c>
      <c r="K73" s="49"/>
      <c r="L73" s="111"/>
      <c r="O73" s="49"/>
      <c r="P73" s="49"/>
      <c r="Q73" s="49"/>
      <c r="R73" s="49"/>
    </row>
    <row r="74" spans="1:18" ht="12.75">
      <c r="A74" s="98" t="s">
        <v>190</v>
      </c>
      <c r="B74" s="46"/>
      <c r="C74" s="46"/>
      <c r="D74" s="49">
        <v>56770</v>
      </c>
      <c r="F74" s="49">
        <v>0</v>
      </c>
      <c r="G74" s="46"/>
      <c r="H74" s="49">
        <v>56770</v>
      </c>
      <c r="I74" s="46"/>
      <c r="J74" s="61">
        <v>0</v>
      </c>
      <c r="K74" s="49"/>
      <c r="L74" s="111"/>
      <c r="O74" s="49"/>
      <c r="P74" s="49"/>
      <c r="Q74" s="49"/>
      <c r="R74" s="49"/>
    </row>
    <row r="75" spans="1:18" ht="12.75">
      <c r="A75" s="57" t="s">
        <v>207</v>
      </c>
      <c r="B75" s="46"/>
      <c r="C75" s="46"/>
      <c r="D75" s="49"/>
      <c r="F75" s="49"/>
      <c r="G75" s="46"/>
      <c r="H75" s="49"/>
      <c r="I75" s="46"/>
      <c r="J75" s="61"/>
      <c r="K75" s="49"/>
      <c r="L75" s="111"/>
      <c r="O75" s="49"/>
      <c r="P75" s="49"/>
      <c r="Q75" s="49"/>
      <c r="R75" s="49"/>
    </row>
    <row r="76" spans="1:18" ht="13.5" thickBot="1">
      <c r="A76" s="57" t="s">
        <v>206</v>
      </c>
      <c r="B76" s="46"/>
      <c r="C76" s="46"/>
      <c r="D76" s="88">
        <v>-2188</v>
      </c>
      <c r="F76" s="88">
        <f>197</f>
        <v>197</v>
      </c>
      <c r="H76" s="88">
        <f>-150-2188</f>
        <v>-2338</v>
      </c>
      <c r="J76" s="88">
        <f>-830+197</f>
        <v>-633</v>
      </c>
      <c r="K76" s="84"/>
      <c r="L76" s="111"/>
      <c r="O76" s="49"/>
      <c r="P76" s="49"/>
      <c r="Q76" s="49"/>
      <c r="R76" s="49"/>
    </row>
    <row r="77" spans="1:18" ht="13.5" thickTop="1">
      <c r="A77" s="98"/>
      <c r="B77" s="46"/>
      <c r="C77" s="46"/>
      <c r="D77" s="47"/>
      <c r="F77" s="113"/>
      <c r="G77" s="20"/>
      <c r="H77" s="47"/>
      <c r="I77" s="47"/>
      <c r="J77" s="113"/>
      <c r="K77" s="84"/>
      <c r="L77" s="111"/>
      <c r="O77" s="49"/>
      <c r="P77" s="49"/>
      <c r="Q77" s="49"/>
      <c r="R77" s="49"/>
    </row>
    <row r="78" spans="1:18" ht="12.75">
      <c r="A78" s="56" t="s">
        <v>88</v>
      </c>
      <c r="B78" s="46"/>
      <c r="C78" s="46"/>
      <c r="D78" s="46"/>
      <c r="E78" s="46"/>
      <c r="F78" s="46"/>
      <c r="G78" s="46"/>
      <c r="H78" s="46"/>
      <c r="I78" s="46"/>
      <c r="J78" s="46"/>
      <c r="K78" s="49"/>
      <c r="L78" s="111"/>
      <c r="O78" s="49"/>
      <c r="P78" s="49"/>
      <c r="Q78" s="49"/>
      <c r="R78" s="49"/>
    </row>
    <row r="79" spans="1:18" ht="12.75">
      <c r="A79" s="57" t="s">
        <v>212</v>
      </c>
      <c r="B79" s="46"/>
      <c r="C79" s="46"/>
      <c r="D79" s="46"/>
      <c r="E79" s="46"/>
      <c r="F79" s="23"/>
      <c r="G79" s="23"/>
      <c r="H79" s="23"/>
      <c r="I79" s="23"/>
      <c r="J79" s="86"/>
      <c r="K79" s="49"/>
      <c r="L79" s="111"/>
      <c r="O79" s="49"/>
      <c r="P79" s="49"/>
      <c r="Q79" s="49"/>
      <c r="R79" s="49"/>
    </row>
    <row r="80" spans="1:18" ht="12.75">
      <c r="A80" s="57"/>
      <c r="B80" s="46"/>
      <c r="C80" s="46"/>
      <c r="D80" s="46"/>
      <c r="E80" s="46"/>
      <c r="F80" s="46"/>
      <c r="G80" s="46"/>
      <c r="H80" s="46"/>
      <c r="I80" s="46"/>
      <c r="J80" s="46"/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57"/>
      <c r="B81" s="46"/>
      <c r="C81" s="46"/>
      <c r="D81" s="86" t="s">
        <v>74</v>
      </c>
      <c r="F81" s="86" t="s">
        <v>74</v>
      </c>
      <c r="G81" s="46"/>
      <c r="H81" s="77" t="str">
        <f>H69</f>
        <v>Period ended</v>
      </c>
      <c r="I81" s="76"/>
      <c r="J81" s="77" t="str">
        <f>J69</f>
        <v>Period ended</v>
      </c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57"/>
      <c r="B82" s="46"/>
      <c r="C82" s="46"/>
      <c r="D82" s="78" t="str">
        <f>D70</f>
        <v>31/12/2008</v>
      </c>
      <c r="E82" s="74"/>
      <c r="F82" s="79" t="str">
        <f>F70</f>
        <v>31/12/2007</v>
      </c>
      <c r="G82" s="46"/>
      <c r="H82" s="78" t="str">
        <f>D82</f>
        <v>31/12/2008</v>
      </c>
      <c r="I82" s="74"/>
      <c r="J82" s="79" t="str">
        <f>F82</f>
        <v>31/12/2007</v>
      </c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57"/>
      <c r="B83" s="46"/>
      <c r="C83" s="46"/>
      <c r="D83" s="61" t="s">
        <v>8</v>
      </c>
      <c r="E83" s="46"/>
      <c r="F83" s="61" t="s">
        <v>8</v>
      </c>
      <c r="G83" s="46"/>
      <c r="H83" s="61" t="s">
        <v>8</v>
      </c>
      <c r="I83" s="46"/>
      <c r="J83" s="61" t="s">
        <v>8</v>
      </c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57"/>
      <c r="B84" s="46"/>
      <c r="C84" s="46"/>
      <c r="G84" s="46"/>
      <c r="H84" s="61"/>
      <c r="I84" s="46"/>
      <c r="J84" s="61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 t="s">
        <v>207</v>
      </c>
      <c r="B85" s="46"/>
      <c r="C85" s="46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 t="s">
        <v>208</v>
      </c>
      <c r="B86" s="46"/>
      <c r="C86" s="46"/>
      <c r="D86" s="46">
        <v>-10106</v>
      </c>
      <c r="F86" s="46">
        <v>5721</v>
      </c>
      <c r="G86" s="46"/>
      <c r="H86" s="46">
        <f>-7976-10106</f>
        <v>-18082</v>
      </c>
      <c r="I86" s="46"/>
      <c r="J86" s="46">
        <f>-753+5721</f>
        <v>4968</v>
      </c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 t="s">
        <v>209</v>
      </c>
      <c r="B87" s="46"/>
      <c r="C87" s="46"/>
      <c r="D87" s="46">
        <f>529</f>
        <v>529</v>
      </c>
      <c r="F87" s="15">
        <v>1436</v>
      </c>
      <c r="G87" s="46"/>
      <c r="H87" s="15">
        <f>225+17+529</f>
        <v>771</v>
      </c>
      <c r="I87" s="46"/>
      <c r="J87" s="15">
        <f>3963+1436</f>
        <v>5399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 t="s">
        <v>165</v>
      </c>
      <c r="B88" s="46"/>
      <c r="C88" s="46"/>
      <c r="K88" s="49"/>
      <c r="L88" s="49"/>
      <c r="M88" s="49"/>
      <c r="N88" s="49"/>
      <c r="O88" s="49"/>
      <c r="P88" s="49"/>
      <c r="Q88" s="49"/>
      <c r="R88" s="49"/>
    </row>
    <row r="89" spans="1:18" ht="13.5" thickBot="1">
      <c r="A89" s="57" t="s">
        <v>166</v>
      </c>
      <c r="B89" s="46"/>
      <c r="C89" s="46"/>
      <c r="D89" s="91">
        <v>-3199</v>
      </c>
      <c r="F89" s="91">
        <v>-1008</v>
      </c>
      <c r="G89" s="46"/>
      <c r="H89" s="91">
        <f>-836-3199</f>
        <v>-4035</v>
      </c>
      <c r="J89" s="91">
        <f>-356-1008</f>
        <v>-1364</v>
      </c>
      <c r="K89" s="49"/>
      <c r="L89" s="49"/>
      <c r="M89" s="49"/>
      <c r="N89" s="49"/>
      <c r="O89" s="49"/>
      <c r="P89" s="49"/>
      <c r="Q89" s="49"/>
      <c r="R89" s="49"/>
    </row>
    <row r="90" spans="1:18" ht="13.5" thickTop="1">
      <c r="A90" s="98"/>
      <c r="K90" s="49"/>
      <c r="L90" s="49"/>
      <c r="M90" s="49"/>
      <c r="N90" s="49"/>
      <c r="O90" s="49"/>
      <c r="P90" s="49"/>
      <c r="Q90" s="49"/>
      <c r="R90" s="49"/>
    </row>
    <row r="91" spans="7:18" ht="12.75">
      <c r="G91" s="46"/>
      <c r="H91" s="46"/>
      <c r="I91" s="46"/>
      <c r="J91" s="46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136" t="s">
        <v>167</v>
      </c>
      <c r="B93" s="136"/>
      <c r="C93" s="136"/>
      <c r="D93" s="136"/>
      <c r="E93" s="136"/>
      <c r="F93" s="136"/>
      <c r="G93" s="136"/>
      <c r="H93" s="136"/>
      <c r="I93" s="136"/>
      <c r="J93" s="136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122" t="s">
        <v>168</v>
      </c>
      <c r="B94" s="122"/>
      <c r="C94" s="122"/>
      <c r="D94" s="122"/>
      <c r="E94" s="122"/>
      <c r="F94" s="122"/>
      <c r="G94" s="122"/>
      <c r="H94" s="122"/>
      <c r="I94" s="122"/>
      <c r="J94" s="122"/>
      <c r="L94" s="49"/>
      <c r="M94" s="49"/>
      <c r="N94" s="49"/>
      <c r="O94" s="49"/>
      <c r="P94" s="49"/>
      <c r="Q94" s="49"/>
      <c r="R94" s="49"/>
    </row>
    <row r="95" spans="1:18" ht="12.7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49"/>
      <c r="M95" s="49"/>
      <c r="N95" s="49"/>
      <c r="O95" s="49"/>
      <c r="P95" s="49"/>
      <c r="Q95" s="49"/>
      <c r="R95" s="49"/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</sheetData>
  <mergeCells count="8">
    <mergeCell ref="A95:K95"/>
    <mergeCell ref="A2:J2"/>
    <mergeCell ref="A3:J3"/>
    <mergeCell ref="A4:J4"/>
    <mergeCell ref="H20:J20"/>
    <mergeCell ref="D20:F20"/>
    <mergeCell ref="A93:J93"/>
    <mergeCell ref="A94:J94"/>
  </mergeCells>
  <printOptions horizontalCentered="1"/>
  <pageMargins left="0.25" right="0" top="0.3" bottom="0" header="0.15" footer="0.25"/>
  <pageSetup fitToHeight="0" fitToWidth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="75" zoomScaleNormal="75" workbookViewId="0" topLeftCell="A33">
      <selection activeCell="H28" sqref="H28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</cols>
  <sheetData>
    <row r="1" spans="1: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ht="12.75">
      <c r="A2" s="124" t="s">
        <v>23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24" t="s">
        <v>24</v>
      </c>
      <c r="B3" s="124"/>
      <c r="C3" s="124"/>
      <c r="D3" s="124"/>
      <c r="E3" s="124"/>
      <c r="F3" s="124"/>
      <c r="G3" s="124"/>
      <c r="H3" s="124"/>
      <c r="I3" s="124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185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198</v>
      </c>
      <c r="B7" s="30"/>
      <c r="C7" s="27"/>
      <c r="D7" s="28"/>
      <c r="E7" s="28"/>
      <c r="F7" s="28"/>
      <c r="G7" s="31"/>
    </row>
    <row r="8" spans="1:10" ht="15.75">
      <c r="A8" s="60"/>
      <c r="B8" s="30"/>
      <c r="C8" s="27"/>
      <c r="D8" s="28"/>
      <c r="E8" s="28"/>
      <c r="F8" s="28"/>
      <c r="G8" s="31"/>
      <c r="J8" s="86"/>
    </row>
    <row r="9" spans="1:10" ht="15.75">
      <c r="A9" s="60"/>
      <c r="B9" s="30"/>
      <c r="C9" s="27"/>
      <c r="D9" s="28"/>
      <c r="E9" s="28"/>
      <c r="F9" s="28"/>
      <c r="G9" s="31"/>
      <c r="J9" s="23" t="s">
        <v>63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156</v>
      </c>
      <c r="I10" s="10"/>
      <c r="J10" s="23" t="s">
        <v>75</v>
      </c>
    </row>
    <row r="11" spans="1:10" ht="15.75">
      <c r="A11" s="60"/>
      <c r="B11" s="30"/>
      <c r="C11" s="27"/>
      <c r="D11" s="28"/>
      <c r="E11" s="28"/>
      <c r="F11" s="28"/>
      <c r="G11" s="31"/>
      <c r="H11" s="73" t="s">
        <v>153</v>
      </c>
      <c r="I11" s="10"/>
      <c r="J11" s="73" t="s">
        <v>153</v>
      </c>
    </row>
    <row r="12" spans="1:10" ht="15.75">
      <c r="A12" s="60"/>
      <c r="B12" s="30"/>
      <c r="C12" s="27"/>
      <c r="D12" s="28"/>
      <c r="E12" s="28"/>
      <c r="F12" s="28"/>
      <c r="G12" s="31"/>
      <c r="H12" s="23" t="s">
        <v>19</v>
      </c>
      <c r="I12" s="10"/>
      <c r="J12" s="23" t="s">
        <v>19</v>
      </c>
    </row>
    <row r="13" spans="1:10" ht="15.75">
      <c r="A13" s="60"/>
      <c r="B13" s="30"/>
      <c r="C13" s="27"/>
      <c r="D13" s="28"/>
      <c r="E13" s="28"/>
      <c r="F13" s="28"/>
      <c r="G13" s="31"/>
      <c r="H13" s="72" t="s">
        <v>188</v>
      </c>
      <c r="I13" s="2"/>
      <c r="J13" s="70" t="s">
        <v>189</v>
      </c>
    </row>
    <row r="15" spans="8:10" ht="12.75">
      <c r="H15" s="23" t="s">
        <v>8</v>
      </c>
      <c r="J15" s="23" t="s">
        <v>8</v>
      </c>
    </row>
    <row r="16" ht="12.75">
      <c r="A16" s="4" t="s">
        <v>41</v>
      </c>
    </row>
    <row r="17" spans="2:13" ht="12.75">
      <c r="B17" s="54" t="s">
        <v>69</v>
      </c>
      <c r="H17" s="46">
        <f>'[4]cashflow'!$G$8</f>
        <v>29235.796941452245</v>
      </c>
      <c r="J17" s="46">
        <v>24748</v>
      </c>
      <c r="M17" s="49"/>
    </row>
    <row r="18" spans="8:10" ht="12.75">
      <c r="H18" s="46"/>
      <c r="J18" s="46"/>
    </row>
    <row r="19" spans="2:10" ht="12.75">
      <c r="B19" s="54" t="s">
        <v>57</v>
      </c>
      <c r="H19" s="46"/>
      <c r="J19" s="46"/>
    </row>
    <row r="20" spans="3:10" ht="12.75">
      <c r="C20" t="s">
        <v>42</v>
      </c>
      <c r="H20" s="46">
        <f>'[4]cashflow'!$I$39</f>
        <v>-12014.387632978009</v>
      </c>
      <c r="J20" s="46">
        <v>4116</v>
      </c>
    </row>
    <row r="21" spans="3:10" ht="12.75">
      <c r="C21" t="s">
        <v>43</v>
      </c>
      <c r="H21" s="46">
        <f>'[4]cashflow'!$G$36</f>
        <v>1249.393114499001</v>
      </c>
      <c r="J21" s="46">
        <v>1144</v>
      </c>
    </row>
    <row r="22" spans="3:10" ht="12.75">
      <c r="C22" t="s">
        <v>44</v>
      </c>
      <c r="H22" s="46">
        <f>'[4]cashflow'!$G$37</f>
        <v>-5239.902239543002</v>
      </c>
      <c r="J22" s="46">
        <v>-3083</v>
      </c>
    </row>
    <row r="23" spans="8:10" ht="12.75">
      <c r="H23" s="52"/>
      <c r="J23" s="52"/>
    </row>
    <row r="24" spans="2:10" ht="12.75">
      <c r="B24" s="54" t="s">
        <v>71</v>
      </c>
      <c r="H24" s="46">
        <f>SUM(H17:H22)</f>
        <v>13230.900183430234</v>
      </c>
      <c r="J24" s="46">
        <f>SUM(J17:J22)</f>
        <v>26925</v>
      </c>
    </row>
    <row r="25" spans="8:10" ht="12.75">
      <c r="H25" s="46"/>
      <c r="J25" s="46"/>
    </row>
    <row r="26" spans="2:10" ht="12.75">
      <c r="B26" s="54" t="s">
        <v>142</v>
      </c>
      <c r="H26" s="46"/>
      <c r="J26" s="46"/>
    </row>
    <row r="27" spans="3:10" ht="12.75">
      <c r="C27" t="s">
        <v>45</v>
      </c>
      <c r="H27" s="46">
        <f>SUM('[4]cashflow'!$G$43:$G$50)+5438</f>
        <v>26658.83315481584</v>
      </c>
      <c r="J27" s="46">
        <v>175835</v>
      </c>
    </row>
    <row r="28" spans="3:10" ht="12.75">
      <c r="C28" t="s">
        <v>46</v>
      </c>
      <c r="H28" s="46">
        <f>SUM('[4]cashflow'!$G$51:$G$52)+1</f>
        <v>-8707.8092413225</v>
      </c>
      <c r="J28" s="46">
        <v>-77518</v>
      </c>
    </row>
    <row r="29" spans="8:10" ht="12.75">
      <c r="H29" s="52"/>
      <c r="J29" s="52"/>
    </row>
    <row r="30" spans="2:10" ht="12.75">
      <c r="B30" s="14" t="s">
        <v>180</v>
      </c>
      <c r="H30" s="46">
        <f>SUM(H24:H28)</f>
        <v>31181.92409692357</v>
      </c>
      <c r="J30" s="46">
        <f>SUM(J24:J28)</f>
        <v>125242</v>
      </c>
    </row>
    <row r="31" spans="8:10" ht="12.75">
      <c r="H31" s="46"/>
      <c r="J31" s="46"/>
    </row>
    <row r="32" spans="2:10" ht="12.75">
      <c r="B32" t="s">
        <v>43</v>
      </c>
      <c r="H32" s="46">
        <f>'[4]cashflow'!$G$57-1</f>
        <v>-4241.393114499001</v>
      </c>
      <c r="J32" s="46">
        <v>-5329</v>
      </c>
    </row>
    <row r="33" spans="2:10" ht="12.75">
      <c r="B33" t="s">
        <v>44</v>
      </c>
      <c r="H33" s="46">
        <f>'[4]cashflow'!$G$56</f>
        <v>5239.902239543002</v>
      </c>
      <c r="J33" s="46">
        <v>3083</v>
      </c>
    </row>
    <row r="34" spans="2:10" ht="12.75">
      <c r="B34" s="54" t="s">
        <v>221</v>
      </c>
      <c r="H34" s="46">
        <f>'[4]cashflow'!$G$58</f>
        <v>-909.9901178169998</v>
      </c>
      <c r="J34" s="46">
        <v>3189</v>
      </c>
    </row>
    <row r="35" spans="8:10" ht="12.75">
      <c r="H35" s="52"/>
      <c r="J35" s="46"/>
    </row>
    <row r="36" spans="2:10" ht="12.75">
      <c r="B36" s="14" t="s">
        <v>172</v>
      </c>
      <c r="H36" s="55">
        <f>SUM(H30:H35)+1</f>
        <v>31271.44310415057</v>
      </c>
      <c r="J36" s="55">
        <f>SUM(J30:J35)</f>
        <v>126185</v>
      </c>
    </row>
    <row r="37" spans="2:10" ht="12.75">
      <c r="B37" s="5" t="s">
        <v>3</v>
      </c>
      <c r="H37" s="46"/>
      <c r="J37" s="46"/>
    </row>
    <row r="38" spans="1:10" ht="12.75">
      <c r="A38" s="4" t="s">
        <v>47</v>
      </c>
      <c r="H38" s="46"/>
      <c r="J38" s="46"/>
    </row>
    <row r="39" spans="1:10" ht="12.75">
      <c r="A39" s="4"/>
      <c r="B39" t="s">
        <v>201</v>
      </c>
      <c r="H39" s="46">
        <v>0</v>
      </c>
      <c r="J39" s="46">
        <v>2500</v>
      </c>
    </row>
    <row r="40" spans="1:10" ht="12.75">
      <c r="A40" s="4"/>
      <c r="B40" t="s">
        <v>202</v>
      </c>
      <c r="H40" s="46">
        <v>0</v>
      </c>
      <c r="J40" s="46">
        <v>471</v>
      </c>
    </row>
    <row r="41" spans="1:10" ht="12.75">
      <c r="A41" s="4"/>
      <c r="B41" s="54" t="s">
        <v>199</v>
      </c>
      <c r="H41" s="46">
        <f>'[4]cashflow'!$G$67</f>
        <v>-40</v>
      </c>
      <c r="J41" s="15">
        <v>-1215</v>
      </c>
    </row>
    <row r="42" spans="1:10" ht="12.75">
      <c r="A42" s="4"/>
      <c r="B42" s="54" t="s">
        <v>147</v>
      </c>
      <c r="H42" s="46">
        <f>'[4]cashflow'!$G$66</f>
        <v>1000</v>
      </c>
      <c r="J42" s="15">
        <v>902</v>
      </c>
    </row>
    <row r="43" spans="2:10" ht="12.75">
      <c r="B43" t="s">
        <v>48</v>
      </c>
      <c r="H43" s="46">
        <f>'[4]cashflow'!$G$64</f>
        <v>-13999.395895024001</v>
      </c>
      <c r="J43" s="46">
        <v>-2101</v>
      </c>
    </row>
    <row r="44" spans="2:10" ht="12.75">
      <c r="B44" t="s">
        <v>223</v>
      </c>
      <c r="H44" s="46">
        <v>-5438</v>
      </c>
      <c r="J44" s="46">
        <v>0</v>
      </c>
    </row>
    <row r="45" spans="2:10" ht="12.75">
      <c r="B45" s="54" t="s">
        <v>173</v>
      </c>
      <c r="H45" s="46">
        <f>'[4]cashflow'!$G$72</f>
        <v>-6499.923242510999</v>
      </c>
      <c r="J45" s="46">
        <v>-1265</v>
      </c>
    </row>
    <row r="46" spans="2:10" ht="12.75">
      <c r="B46" s="90" t="s">
        <v>203</v>
      </c>
      <c r="H46" s="46">
        <f>'[4]cashflow'!$G$70</f>
        <v>-4377.81102</v>
      </c>
      <c r="J46" s="46">
        <v>0</v>
      </c>
    </row>
    <row r="47" spans="2:10" ht="12.75">
      <c r="B47" t="s">
        <v>49</v>
      </c>
      <c r="H47" s="46">
        <f>'[4]cashflow'!$G$65</f>
        <v>16.843783073998722</v>
      </c>
      <c r="J47" s="46">
        <v>112</v>
      </c>
    </row>
    <row r="48" spans="2:10" ht="12.75">
      <c r="B48" s="54" t="s">
        <v>112</v>
      </c>
      <c r="H48" s="46">
        <v>0</v>
      </c>
      <c r="J48" s="46">
        <v>5300</v>
      </c>
    </row>
    <row r="49" spans="2:10" ht="12.75">
      <c r="B49" s="90" t="s">
        <v>222</v>
      </c>
      <c r="H49" s="46">
        <f>'[4]cashflow'!$G$75+'[4]cashflow'!$G$71-1</f>
        <v>73492.71307</v>
      </c>
      <c r="J49" s="46">
        <v>0</v>
      </c>
    </row>
    <row r="50" spans="2:10" ht="12.75">
      <c r="B50" s="54" t="s">
        <v>148</v>
      </c>
      <c r="H50" s="46">
        <f>'[4]cashflow'!$G$69</f>
        <v>-19.304089999999995</v>
      </c>
      <c r="J50" s="46">
        <v>0</v>
      </c>
    </row>
    <row r="51" spans="2:10" ht="12.75">
      <c r="B51" s="90" t="s">
        <v>200</v>
      </c>
      <c r="H51" s="46">
        <v>0</v>
      </c>
      <c r="J51" s="46">
        <v>-9</v>
      </c>
    </row>
    <row r="52" spans="2:10" ht="12.75">
      <c r="B52" s="54" t="s">
        <v>52</v>
      </c>
      <c r="H52" s="46">
        <f>'[4]cashflow'!$G$73</f>
        <v>1306.3925245080002</v>
      </c>
      <c r="J52" s="46">
        <v>1067</v>
      </c>
    </row>
    <row r="53" spans="8:10" ht="12.75">
      <c r="H53" s="46"/>
      <c r="J53" s="46"/>
    </row>
    <row r="54" spans="2:10" ht="12.75">
      <c r="B54" s="14" t="s">
        <v>174</v>
      </c>
      <c r="H54" s="55">
        <f>SUM(H39:H53)-1+1</f>
        <v>45441.515130047</v>
      </c>
      <c r="J54" s="55">
        <f>SUM(J39:J53)</f>
        <v>5762</v>
      </c>
    </row>
    <row r="55" spans="8:10" ht="12.75">
      <c r="H55" s="46"/>
      <c r="J55" s="46"/>
    </row>
    <row r="56" spans="1:10" ht="12.75">
      <c r="A56" s="4" t="s">
        <v>50</v>
      </c>
      <c r="H56" s="46"/>
      <c r="J56" s="46"/>
    </row>
    <row r="57" spans="1:10" ht="12.75">
      <c r="A57" s="4"/>
      <c r="B57" t="s">
        <v>51</v>
      </c>
      <c r="H57" s="46">
        <f>'[4]cashflow'!$G$81</f>
        <v>-5720.43286999999</v>
      </c>
      <c r="J57" s="46">
        <v>-919</v>
      </c>
    </row>
    <row r="58" spans="1:10" ht="12.75">
      <c r="A58" s="4"/>
      <c r="B58" t="s">
        <v>76</v>
      </c>
      <c r="H58" s="46">
        <f>'[4]cashflow'!$G$82</f>
        <v>-100.04899999999907</v>
      </c>
      <c r="J58" s="46">
        <v>-65</v>
      </c>
    </row>
    <row r="59" spans="1:10" ht="12.75">
      <c r="A59" s="4"/>
      <c r="B59" t="s">
        <v>113</v>
      </c>
      <c r="H59" s="46">
        <f>'[4]cashflow'!$G$87</f>
        <v>-1157</v>
      </c>
      <c r="J59" s="46">
        <v>-150</v>
      </c>
    </row>
    <row r="60" spans="1:10" ht="12.75">
      <c r="A60" s="4"/>
      <c r="B60" t="s">
        <v>73</v>
      </c>
      <c r="H60" s="46">
        <f>'[4]cashflow'!$G$85</f>
        <v>25828.299843348002</v>
      </c>
      <c r="J60" s="46">
        <v>5600</v>
      </c>
    </row>
    <row r="61" spans="2:10" ht="12.75">
      <c r="B61" s="54" t="s">
        <v>175</v>
      </c>
      <c r="H61" s="46">
        <f>'[4]cashflow'!$G$86</f>
        <v>-8217.299843348</v>
      </c>
      <c r="J61" s="46">
        <v>-4480</v>
      </c>
    </row>
    <row r="62" spans="2:10" ht="12.75">
      <c r="B62" s="54" t="s">
        <v>176</v>
      </c>
      <c r="H62" s="46">
        <f>'[4]cashflow'!$G$84</f>
        <v>-1846.2971989999999</v>
      </c>
      <c r="J62" s="46">
        <v>-1388</v>
      </c>
    </row>
    <row r="63" spans="2:10" ht="12.75">
      <c r="B63" s="54" t="s">
        <v>218</v>
      </c>
      <c r="H63" s="46">
        <f>'[4]cashflow'!$G$89</f>
        <v>-1470</v>
      </c>
      <c r="J63" s="46">
        <v>0</v>
      </c>
    </row>
    <row r="64" ht="12.75">
      <c r="B64" s="54" t="s">
        <v>220</v>
      </c>
    </row>
    <row r="65" spans="2:10" ht="12.75">
      <c r="B65" s="54" t="s">
        <v>183</v>
      </c>
      <c r="H65" s="46">
        <f>'[4]cashflow'!$G$90</f>
        <v>300</v>
      </c>
      <c r="J65" s="46">
        <v>0</v>
      </c>
    </row>
    <row r="66" spans="2:10" ht="12.75">
      <c r="B66" s="90" t="s">
        <v>204</v>
      </c>
      <c r="H66" s="46">
        <f>'[4]cashflow'!$G$88</f>
        <v>-2499</v>
      </c>
      <c r="J66" s="46">
        <v>0</v>
      </c>
    </row>
    <row r="67" spans="8:10" ht="12.75">
      <c r="H67" s="46"/>
      <c r="J67" s="46"/>
    </row>
    <row r="68" spans="2:10" ht="12.75">
      <c r="B68" s="14" t="s">
        <v>205</v>
      </c>
      <c r="H68" s="55">
        <f>SUM(H57:H67)+1</f>
        <v>5119.220931000013</v>
      </c>
      <c r="J68" s="55">
        <f>SUM(J57:J66)</f>
        <v>-1402</v>
      </c>
    </row>
    <row r="69" spans="8:10" ht="12.75">
      <c r="H69" s="46"/>
      <c r="J69" s="46"/>
    </row>
    <row r="70" spans="1:10" ht="12.75">
      <c r="A70" s="14" t="s">
        <v>181</v>
      </c>
      <c r="H70" s="46">
        <f>H36+H54+H68</f>
        <v>81832.1791651976</v>
      </c>
      <c r="J70" s="46">
        <f>J36+J54+J68</f>
        <v>130545</v>
      </c>
    </row>
    <row r="71" spans="8:10" ht="12.75">
      <c r="H71" s="46"/>
      <c r="J71" s="46"/>
    </row>
    <row r="72" spans="1:10" ht="12.75">
      <c r="A72" s="14" t="s">
        <v>178</v>
      </c>
      <c r="H72" s="46">
        <v>209747</v>
      </c>
      <c r="J72" s="46">
        <v>46585</v>
      </c>
    </row>
    <row r="73" spans="1:10" ht="12.75">
      <c r="A73" s="4"/>
      <c r="H73" s="46"/>
      <c r="J73" s="46"/>
    </row>
    <row r="74" spans="1:10" ht="12.75">
      <c r="A74" s="4" t="s">
        <v>53</v>
      </c>
      <c r="H74" s="46">
        <f>'[4]cashflow'!$G$98</f>
        <v>593.0432265494965</v>
      </c>
      <c r="J74" s="46">
        <v>70</v>
      </c>
    </row>
    <row r="75" spans="1:10" ht="12.75">
      <c r="A75" s="4"/>
      <c r="H75" s="46"/>
      <c r="J75" s="46"/>
    </row>
    <row r="76" spans="1:10" ht="13.5" thickBot="1">
      <c r="A76" s="14" t="s">
        <v>179</v>
      </c>
      <c r="H76" s="53">
        <f>SUM(H70:H74)</f>
        <v>292172.2223917471</v>
      </c>
      <c r="J76" s="53">
        <f>SUM(J70:J74)</f>
        <v>177200</v>
      </c>
    </row>
    <row r="77" ht="12.75">
      <c r="J77" s="46"/>
    </row>
    <row r="78" ht="12.75">
      <c r="J78" s="46"/>
    </row>
    <row r="79" spans="1:10" ht="12.75">
      <c r="A79" s="14" t="s">
        <v>54</v>
      </c>
      <c r="J79" s="46"/>
    </row>
    <row r="80" ht="12.75">
      <c r="J80" s="46"/>
    </row>
    <row r="81" spans="2:10" ht="12.75">
      <c r="B81" s="14" t="s">
        <v>177</v>
      </c>
      <c r="H81" s="46">
        <f>'[4]cashflow'!$G$107</f>
        <v>-979</v>
      </c>
      <c r="J81" s="46">
        <v>-3252</v>
      </c>
    </row>
    <row r="82" spans="2:10" ht="12.75">
      <c r="B82" s="4" t="s">
        <v>17</v>
      </c>
      <c r="H82" s="46">
        <f>'[4]cashflow'!$G$105</f>
        <v>28050.052240275003</v>
      </c>
      <c r="J82" s="46">
        <v>14984</v>
      </c>
    </row>
    <row r="83" spans="2:10" ht="12.75">
      <c r="B83" s="4" t="s">
        <v>55</v>
      </c>
      <c r="H83" s="46">
        <f>'[4]cashflow'!$G$106</f>
        <v>265101.049583955</v>
      </c>
      <c r="J83" s="46">
        <v>165468</v>
      </c>
    </row>
    <row r="84" spans="8:10" ht="12.75">
      <c r="H84" s="46"/>
      <c r="J84" s="46"/>
    </row>
    <row r="85" spans="8:10" ht="13.5" thickBot="1">
      <c r="H85" s="53">
        <f>SUM(H81:H83)</f>
        <v>292172.10182423005</v>
      </c>
      <c r="J85" s="53">
        <f>SUM(J81:J83)</f>
        <v>177200</v>
      </c>
    </row>
    <row r="86" ht="12.75">
      <c r="H86" s="49"/>
    </row>
    <row r="87" ht="12.75">
      <c r="A87" s="14"/>
    </row>
    <row r="88" spans="1:11" ht="12.75">
      <c r="A88" s="122" t="s">
        <v>98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</row>
    <row r="89" spans="1:11" ht="12.75">
      <c r="A89" s="122" t="s">
        <v>154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</row>
    <row r="90" spans="1:12" ht="12.75">
      <c r="A90" s="122" t="s">
        <v>110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</sheetData>
  <mergeCells count="6">
    <mergeCell ref="A89:K89"/>
    <mergeCell ref="A90:L90"/>
    <mergeCell ref="A1:I1"/>
    <mergeCell ref="A2:I2"/>
    <mergeCell ref="A3:I3"/>
    <mergeCell ref="A88:K88"/>
  </mergeCells>
  <printOptions/>
  <pageMargins left="1.19" right="0.24" top="0.33" bottom="0" header="0.24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2009-02-26T10:35:44Z</cp:lastPrinted>
  <dcterms:created xsi:type="dcterms:W3CDTF">2000-02-14T08:00:04Z</dcterms:created>
  <dcterms:modified xsi:type="dcterms:W3CDTF">2009-02-26T10:40:46Z</dcterms:modified>
  <cp:category/>
  <cp:version/>
  <cp:contentType/>
  <cp:contentStatus/>
</cp:coreProperties>
</file>